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1B30C7E9-DD2D-4259-BDDE-43DF35C73184}" xr6:coauthVersionLast="47" xr6:coauthVersionMax="47" xr10:uidLastSave="{00000000-0000-0000-0000-000000000000}"/>
  <bookViews>
    <workbookView xWindow="-108" yWindow="-108" windowWidth="23256" windowHeight="12456" tabRatio="991"/>
  </bookViews>
  <sheets>
    <sheet name="2023" sheetId="1" r:id="rId1"/>
  </sheets>
  <definedNames>
    <definedName name="_xlnm.Print_Area" localSheetId="0">'2023'!$B$1:$AD$34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 s="1"/>
  <c r="R7" i="1"/>
  <c r="R6" i="1" s="1"/>
  <c r="H8" i="1"/>
  <c r="J8" i="1"/>
  <c r="H9" i="1"/>
  <c r="N9" i="1" s="1"/>
  <c r="J9" i="1"/>
  <c r="L9" i="1"/>
  <c r="P9" i="1" s="1"/>
  <c r="T9" i="1"/>
  <c r="H10" i="1"/>
  <c r="P10" i="1" s="1"/>
  <c r="J10" i="1"/>
  <c r="L10" i="1"/>
  <c r="N10" i="1"/>
  <c r="T10" i="1"/>
  <c r="H11" i="1"/>
  <c r="J11" i="1" s="1"/>
  <c r="J7" i="1" s="1"/>
  <c r="T11" i="1"/>
  <c r="F12" i="1"/>
  <c r="R12" i="1"/>
  <c r="P13" i="1"/>
  <c r="T13" i="1"/>
  <c r="AB13" i="1" s="1"/>
  <c r="V13" i="1"/>
  <c r="X13" i="1"/>
  <c r="Z13" i="1"/>
  <c r="H14" i="1"/>
  <c r="V14" i="1" s="1"/>
  <c r="J14" i="1"/>
  <c r="L14" i="1"/>
  <c r="N14" i="1"/>
  <c r="P14" i="1"/>
  <c r="T14" i="1"/>
  <c r="T12" i="1" s="1"/>
  <c r="H15" i="1"/>
  <c r="X15" i="1" s="1"/>
  <c r="J15" i="1"/>
  <c r="L15" i="1"/>
  <c r="N15" i="1"/>
  <c r="P15" i="1"/>
  <c r="T15" i="1"/>
  <c r="V15" i="1"/>
  <c r="H16" i="1"/>
  <c r="Z16" i="1" s="1"/>
  <c r="J16" i="1"/>
  <c r="L16" i="1"/>
  <c r="N16" i="1"/>
  <c r="P16" i="1"/>
  <c r="T16" i="1"/>
  <c r="V16" i="1"/>
  <c r="X16" i="1"/>
  <c r="H17" i="1"/>
  <c r="T17" i="1"/>
  <c r="H18" i="1"/>
  <c r="J18" i="1"/>
  <c r="T18" i="1"/>
  <c r="J19" i="1"/>
  <c r="P19" i="1" s="1"/>
  <c r="L19" i="1"/>
  <c r="N19" i="1"/>
  <c r="T19" i="1"/>
  <c r="H20" i="1"/>
  <c r="J20" i="1" s="1"/>
  <c r="T20" i="1"/>
  <c r="H21" i="1"/>
  <c r="L21" i="1" s="1"/>
  <c r="J21" i="1"/>
  <c r="T21" i="1"/>
  <c r="H22" i="1"/>
  <c r="N22" i="1" s="1"/>
  <c r="J22" i="1"/>
  <c r="L22" i="1"/>
  <c r="T22" i="1"/>
  <c r="J23" i="1"/>
  <c r="V23" i="1" s="1"/>
  <c r="L23" i="1"/>
  <c r="N23" i="1"/>
  <c r="P23" i="1"/>
  <c r="T23" i="1"/>
  <c r="H24" i="1"/>
  <c r="X24" i="1" s="1"/>
  <c r="J24" i="1"/>
  <c r="L24" i="1"/>
  <c r="N24" i="1"/>
  <c r="P24" i="1"/>
  <c r="V24" i="1"/>
  <c r="H25" i="1"/>
  <c r="J25" i="1"/>
  <c r="Z25" i="1" s="1"/>
  <c r="L25" i="1"/>
  <c r="N25" i="1"/>
  <c r="P25" i="1"/>
  <c r="T25" i="1"/>
  <c r="V25" i="1"/>
  <c r="X25" i="1"/>
  <c r="AD26" i="1"/>
  <c r="T27" i="1"/>
  <c r="V27" i="1"/>
  <c r="F28" i="1"/>
  <c r="F27" i="1" s="1"/>
  <c r="F31" i="1" s="1"/>
  <c r="H28" i="1"/>
  <c r="H27" i="1" s="1"/>
  <c r="J28" i="1"/>
  <c r="J27" i="1" s="1"/>
  <c r="L28" i="1"/>
  <c r="L27" i="1" s="1"/>
  <c r="N28" i="1"/>
  <c r="N27" i="1" s="1"/>
  <c r="P28" i="1"/>
  <c r="P27" i="1" s="1"/>
  <c r="R28" i="1"/>
  <c r="R27" i="1" s="1"/>
  <c r="R31" i="1" s="1"/>
  <c r="T28" i="1"/>
  <c r="V28" i="1"/>
  <c r="AD29" i="1"/>
  <c r="P30" i="1"/>
  <c r="AD30" i="1" s="1"/>
  <c r="R30" i="1"/>
  <c r="X30" i="1"/>
  <c r="X28" i="1" s="1"/>
  <c r="X27" i="1" s="1"/>
  <c r="Z30" i="1"/>
  <c r="Z28" i="1" s="1"/>
  <c r="Z27" i="1" s="1"/>
  <c r="AB30" i="1"/>
  <c r="AB28" i="1" s="1"/>
  <c r="AB27" i="1" s="1"/>
  <c r="J12" i="1" l="1"/>
  <c r="AD28" i="1"/>
  <c r="AD27" i="1" s="1"/>
  <c r="V10" i="1"/>
  <c r="X10" i="1" s="1"/>
  <c r="V9" i="1"/>
  <c r="X9" i="1" s="1"/>
  <c r="N8" i="1"/>
  <c r="N7" i="1" s="1"/>
  <c r="J6" i="1"/>
  <c r="J31" i="1" s="1"/>
  <c r="V19" i="1"/>
  <c r="AB16" i="1"/>
  <c r="L17" i="1"/>
  <c r="L12" i="1" s="1"/>
  <c r="AD13" i="1"/>
  <c r="V21" i="1"/>
  <c r="L18" i="1"/>
  <c r="J17" i="1"/>
  <c r="L8" i="1"/>
  <c r="H12" i="1"/>
  <c r="Z23" i="1"/>
  <c r="AB23" i="1" s="1"/>
  <c r="V22" i="1"/>
  <c r="P20" i="1"/>
  <c r="AB14" i="1"/>
  <c r="AB24" i="1"/>
  <c r="X23" i="1"/>
  <c r="AD23" i="1" s="1"/>
  <c r="P21" i="1"/>
  <c r="X21" i="1" s="1"/>
  <c r="N20" i="1"/>
  <c r="AD16" i="1"/>
  <c r="AB15" i="1"/>
  <c r="Z14" i="1"/>
  <c r="N11" i="1"/>
  <c r="H7" i="1"/>
  <c r="H6" i="1" s="1"/>
  <c r="H31" i="1" s="1"/>
  <c r="AB25" i="1"/>
  <c r="AD25" i="1" s="1"/>
  <c r="Z24" i="1"/>
  <c r="AD24" i="1" s="1"/>
  <c r="P22" i="1"/>
  <c r="N21" i="1"/>
  <c r="L20" i="1"/>
  <c r="Z15" i="1"/>
  <c r="AD15" i="1" s="1"/>
  <c r="X14" i="1"/>
  <c r="L11" i="1"/>
  <c r="AB9" i="1" l="1"/>
  <c r="V11" i="1"/>
  <c r="Z21" i="1"/>
  <c r="AB21" i="1" s="1"/>
  <c r="X19" i="1"/>
  <c r="Z19" i="1" s="1"/>
  <c r="X22" i="1"/>
  <c r="Z10" i="1"/>
  <c r="AB10" i="1" s="1"/>
  <c r="Z9" i="1"/>
  <c r="AD9" i="1" s="1"/>
  <c r="V20" i="1"/>
  <c r="X20" i="1" s="1"/>
  <c r="L7" i="1"/>
  <c r="L6" i="1" s="1"/>
  <c r="L31" i="1" s="1"/>
  <c r="P8" i="1"/>
  <c r="P7" i="1" s="1"/>
  <c r="N18" i="1"/>
  <c r="P18" i="1" s="1"/>
  <c r="AD14" i="1"/>
  <c r="P11" i="1"/>
  <c r="X11" i="1" s="1"/>
  <c r="N17" i="1"/>
  <c r="AD22" i="1" l="1"/>
  <c r="AB19" i="1"/>
  <c r="AD19" i="1" s="1"/>
  <c r="Z11" i="1"/>
  <c r="AD10" i="1"/>
  <c r="N12" i="1"/>
  <c r="N6" i="1" s="1"/>
  <c r="N31" i="1" s="1"/>
  <c r="AB20" i="1"/>
  <c r="Z22" i="1"/>
  <c r="AB22" i="1" s="1"/>
  <c r="Z20" i="1"/>
  <c r="AD20" i="1" s="1"/>
  <c r="AD21" i="1"/>
  <c r="P17" i="1"/>
  <c r="T8" i="1"/>
  <c r="V18" i="1"/>
  <c r="X18" i="1" s="1"/>
  <c r="Z18" i="1" l="1"/>
  <c r="AB18" i="1" s="1"/>
  <c r="AD11" i="1"/>
  <c r="P12" i="1"/>
  <c r="P6" i="1" s="1"/>
  <c r="P31" i="1" s="1"/>
  <c r="V17" i="1"/>
  <c r="V12" i="1" s="1"/>
  <c r="AB11" i="1"/>
  <c r="X17" i="1"/>
  <c r="X12" i="1" s="1"/>
  <c r="T7" i="1"/>
  <c r="T6" i="1" s="1"/>
  <c r="T31" i="1" s="1"/>
  <c r="V8" i="1"/>
  <c r="X8" i="1"/>
  <c r="X7" i="1" s="1"/>
  <c r="X6" i="1" s="1"/>
  <c r="X31" i="1" s="1"/>
  <c r="Z17" i="1" l="1"/>
  <c r="Z12" i="1" s="1"/>
  <c r="AB17" i="1"/>
  <c r="AB12" i="1" s="1"/>
  <c r="AD18" i="1"/>
  <c r="V7" i="1"/>
  <c r="V6" i="1" s="1"/>
  <c r="V31" i="1" s="1"/>
  <c r="Z8" i="1"/>
  <c r="Z7" i="1" l="1"/>
  <c r="Z6" i="1" s="1"/>
  <c r="Z31" i="1" s="1"/>
  <c r="AB8" i="1"/>
  <c r="AB7" i="1" s="1"/>
  <c r="AB6" i="1" s="1"/>
  <c r="AB31" i="1" s="1"/>
  <c r="AD17" i="1"/>
  <c r="AD12" i="1" s="1"/>
  <c r="AD8" i="1" l="1"/>
  <c r="AD7" i="1" s="1"/>
  <c r="AD6" i="1" s="1"/>
  <c r="AD31" i="1" s="1"/>
</calcChain>
</file>

<file path=xl/sharedStrings.xml><?xml version="1.0" encoding="utf-8"?>
<sst xmlns="http://schemas.openxmlformats.org/spreadsheetml/2006/main" count="44" uniqueCount="44">
  <si>
    <t xml:space="preserve">DESPESAS ORÇAMENTÁRIAS - POR ELEMENTO </t>
  </si>
  <si>
    <t>Data Atualizacao :  01/01/203 a 31/12/2023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</si>
  <si>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</si>
  <si>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</si>
  <si>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</si>
  <si>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</si>
  <si>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</si>
  <si>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</si>
  <si>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</si>
  <si>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</si>
  <si>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</si>
  <si>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</si>
  <si>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</si>
  <si>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</si>
  <si>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</si>
  <si>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</si>
  <si>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</si>
  <si>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</si>
  <si>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319007 - OBRIGACOES PATRONAIS</t>
  </si>
  <si>
    <t>319011 - VENCIMENTOS E VANTAGENS FIXAS-PESSOAL CIVIL</t>
  </si>
  <si>
    <t>319013 - OBRIGACOES PATRONAIS</t>
  </si>
  <si>
    <t>319016 - OUTRAS DESPESAS VARIÁREIS - HORA EXTRA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</si>
  <si>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</si>
  <si>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</si>
  <si>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</si>
  <si>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</si>
  <si>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</si>
  <si>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</si>
  <si>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</si>
  <si>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</si>
  <si>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</si>
  <si>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339040 -DESPESAS COM TECNOLOGIA DA INFORMAÇÃO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</si>
  <si>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</si>
  <si>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</si>
  <si>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</si>
  <si>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</si>
  <si>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339096 - RESSARC. DE DESPESAS DE PESSOAL REEQUISITADO</t>
  </si>
  <si>
    <t>4 - DESPESAS DE CAPITAL</t>
  </si>
  <si>
    <t>44 - INVESTIMENTOS</t>
  </si>
  <si>
    <t>449051 - OBRAS E INSTALAÇÕES</t>
  </si>
  <si>
    <t>449052 - EQUIPAMENTOS E MATERIAL PERMANENTE</t>
  </si>
  <si>
    <t xml:space="preserve">DESPESAS ORÇAMENTÁRIAS </t>
  </si>
  <si>
    <t>fonte: SIGEO 2023</t>
  </si>
  <si>
    <t>valores liquidados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</si>
</sst>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7" x14ac:knownFonts="1"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color indexed="8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b/>
      <sz val="9"/>
      <name val="Arial"/>
      <family val="2"/>
    </font>
    <font>
      <b/>
      <sz val="11"/>
      <color indexed="1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9"/>
        <bgColor indexed="4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6" fillId="0" borderId="0" applyFill="0" applyBorder="0" applyAlignment="0" applyProtection="0"/>
    <xf numFmtId="0" fontId="16" fillId="0" borderId="0"/>
  </cellStyleXfs>
  <cellXfs count="58">
    <xf numFmtId="0" fontId="0" fillId="0" borderId="0" xfId="0"/>
    <xf numFmtId="0" fontId="16" fillId="2" borderId="0" xfId="2" applyFill="1"/>
    <xf numFmtId="0" fontId="3" fillId="2" borderId="2" xfId="2" applyFont="1" applyFill="1" applyBorder="1" applyAlignment="1">
      <alignment vertical="center"/>
    </xf>
    <xf numFmtId="0" fontId="16" fillId="2" borderId="2" xfId="2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16" fillId="0" borderId="0" xfId="2"/>
    <xf numFmtId="0" fontId="3" fillId="2" borderId="0" xfId="2" applyFont="1" applyFill="1" applyBorder="1"/>
    <xf numFmtId="0" fontId="3" fillId="2" borderId="2" xfId="2" applyFont="1" applyFill="1" applyBorder="1"/>
    <xf numFmtId="0" fontId="16" fillId="2" borderId="0" xfId="2" applyFill="1" applyBorder="1"/>
    <xf numFmtId="0" fontId="4" fillId="2" borderId="0" xfId="2" applyFont="1" applyFill="1" applyBorder="1"/>
    <xf numFmtId="0" fontId="16" fillId="2" borderId="2" xfId="2" applyFill="1" applyBorder="1"/>
    <xf numFmtId="0" fontId="4" fillId="2" borderId="2" xfId="2" applyFont="1" applyFill="1" applyBorder="1"/>
    <xf numFmtId="4" fontId="6" fillId="3" borderId="3" xfId="1" applyNumberFormat="1" applyFont="1" applyFill="1" applyBorder="1" applyAlignment="1" applyProtection="1"/>
    <xf numFmtId="4" fontId="7" fillId="2" borderId="2" xfId="1" applyNumberFormat="1" applyFont="1" applyFill="1" applyBorder="1" applyAlignment="1" applyProtection="1"/>
    <xf numFmtId="4" fontId="6" fillId="0" borderId="2" xfId="1" applyNumberFormat="1" applyFont="1" applyFill="1" applyBorder="1" applyAlignment="1" applyProtection="1"/>
    <xf numFmtId="4" fontId="6" fillId="3" borderId="1" xfId="1" applyNumberFormat="1" applyFont="1" applyFill="1" applyBorder="1" applyAlignment="1" applyProtection="1"/>
    <xf numFmtId="0" fontId="8" fillId="3" borderId="2" xfId="2" applyFont="1" applyFill="1" applyBorder="1" applyAlignment="1">
      <alignment horizontal="left" vertical="top"/>
    </xf>
    <xf numFmtId="4" fontId="1" fillId="3" borderId="1" xfId="1" applyNumberFormat="1" applyFont="1" applyFill="1" applyBorder="1" applyAlignment="1" applyProtection="1"/>
    <xf numFmtId="4" fontId="16" fillId="2" borderId="0" xfId="1" applyNumberFormat="1" applyFill="1" applyBorder="1" applyAlignment="1" applyProtection="1"/>
    <xf numFmtId="4" fontId="1" fillId="0" borderId="2" xfId="1" applyNumberFormat="1" applyFont="1" applyFill="1" applyBorder="1" applyAlignment="1" applyProtection="1"/>
    <xf numFmtId="0" fontId="10" fillId="3" borderId="2" xfId="2" applyFont="1" applyFill="1" applyBorder="1" applyAlignment="1">
      <alignment horizontal="left" vertical="top"/>
    </xf>
    <xf numFmtId="0" fontId="10" fillId="0" borderId="1" xfId="2" applyFont="1" applyFill="1" applyBorder="1" applyAlignment="1">
      <alignment horizontal="left" vertical="top" wrapText="1"/>
    </xf>
    <xf numFmtId="0" fontId="16" fillId="0" borderId="0" xfId="2" applyFill="1"/>
    <xf numFmtId="4" fontId="11" fillId="0" borderId="1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/>
    <xf numFmtId="4" fontId="16" fillId="0" borderId="0" xfId="1" applyNumberFormat="1" applyFill="1" applyBorder="1" applyAlignment="1" applyProtection="1"/>
    <xf numFmtId="4" fontId="11" fillId="0" borderId="2" xfId="1" applyNumberFormat="1" applyFont="1" applyFill="1" applyBorder="1" applyAlignment="1" applyProtection="1"/>
    <xf numFmtId="4" fontId="1" fillId="0" borderId="1" xfId="1" applyNumberFormat="1" applyFont="1" applyFill="1" applyBorder="1" applyAlignment="1" applyProtection="1"/>
    <xf numFmtId="0" fontId="10" fillId="3" borderId="3" xfId="2" applyFont="1" applyFill="1" applyBorder="1" applyAlignment="1">
      <alignment horizontal="left" vertical="top"/>
    </xf>
    <xf numFmtId="0" fontId="1" fillId="0" borderId="0" xfId="0" applyFont="1"/>
    <xf numFmtId="0" fontId="1" fillId="0" borderId="0" xfId="2" applyFont="1" applyFill="1"/>
    <xf numFmtId="4" fontId="1" fillId="2" borderId="1" xfId="1" applyNumberFormat="1" applyFont="1" applyFill="1" applyBorder="1" applyAlignment="1" applyProtection="1"/>
    <xf numFmtId="4" fontId="1" fillId="0" borderId="0" xfId="1" applyNumberFormat="1" applyFont="1" applyFill="1" applyBorder="1" applyAlignment="1" applyProtection="1"/>
    <xf numFmtId="0" fontId="1" fillId="0" borderId="0" xfId="2" applyFont="1"/>
    <xf numFmtId="0" fontId="10" fillId="2" borderId="2" xfId="2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4" fontId="12" fillId="4" borderId="1" xfId="1" applyNumberFormat="1" applyFont="1" applyFill="1" applyBorder="1" applyAlignment="1" applyProtection="1"/>
    <xf numFmtId="4" fontId="13" fillId="0" borderId="0" xfId="1" applyNumberFormat="1" applyFont="1" applyFill="1" applyBorder="1" applyAlignment="1" applyProtection="1"/>
    <xf numFmtId="4" fontId="12" fillId="0" borderId="2" xfId="1" applyNumberFormat="1" applyFont="1" applyFill="1" applyBorder="1" applyAlignment="1" applyProtection="1"/>
    <xf numFmtId="0" fontId="8" fillId="4" borderId="2" xfId="2" applyFont="1" applyFill="1" applyBorder="1" applyAlignment="1">
      <alignment horizontal="left" vertical="top"/>
    </xf>
    <xf numFmtId="0" fontId="8" fillId="4" borderId="3" xfId="2" applyFont="1" applyFill="1" applyBorder="1" applyAlignment="1">
      <alignment horizontal="left" vertical="top"/>
    </xf>
    <xf numFmtId="0" fontId="14" fillId="0" borderId="0" xfId="0" applyFont="1"/>
    <xf numFmtId="0" fontId="15" fillId="0" borderId="0" xfId="2" applyFont="1" applyFill="1"/>
    <xf numFmtId="4" fontId="15" fillId="5" borderId="1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15" fillId="0" borderId="2" xfId="1" applyNumberFormat="1" applyFont="1" applyFill="1" applyBorder="1" applyAlignment="1" applyProtection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top"/>
    </xf>
    <xf numFmtId="0" fontId="9" fillId="3" borderId="4" xfId="2" applyFont="1" applyFill="1" applyBorder="1" applyAlignment="1">
      <alignment horizontal="left" vertical="top"/>
    </xf>
    <xf numFmtId="0" fontId="9" fillId="2" borderId="4" xfId="2" applyFont="1" applyFill="1" applyBorder="1" applyAlignment="1">
      <alignment horizontal="left" vertical="top"/>
    </xf>
    <xf numFmtId="0" fontId="12" fillId="4" borderId="4" xfId="2" applyFont="1" applyFill="1" applyBorder="1" applyAlignment="1">
      <alignment horizontal="left" vertical="top"/>
    </xf>
    <xf numFmtId="0" fontId="15" fillId="5" borderId="1" xfId="2" applyFont="1" applyFill="1" applyBorder="1" applyAlignment="1">
      <alignment horizontal="center" vertical="center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121920</xdr:colOff>
          <xdr:row>0</xdr:row>
          <xdr:rowOff>106680</xdr:rowOff>
        </xdr:from>
        <xdr:to>
          <xdr:col>3</xdr:col>
          <xdr:colOff>358140</xdr:colOff>
          <xdr:row>0</xdr:row>
          <xdr:rowOff>807720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75B4E6C-C428-0834-B14C-0D7F33833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800100</xdr:colOff>
      <xdr:row>0</xdr:row>
      <xdr:rowOff>236220</xdr:rowOff>
    </xdr:from>
    <xdr:to>
      <xdr:col>19</xdr:col>
      <xdr:colOff>91440</xdr:colOff>
      <xdr:row>0</xdr:row>
      <xdr:rowOff>609600</xdr:rowOff>
    </xdr:to>
    <xdr:sp macro="" textlink="" fLocksText="0">
      <xdr:nvSpPr>
        <xdr:cNvPr id="1026" name="Text Box 2">
          <a:extLst>
            <a:ext uri="{FF2B5EF4-FFF2-40B4-BE49-F238E27FC236}">
              <a16:creationId xmlns:a16="http://schemas.microsoft.com/office/drawing/2014/main" id="{297F894F-C595-B5AD-E43E-7C90D0E0B587}"/>
            </a:ext>
          </a:extLst>
        </xdr:cNvPr>
        <xdr:cNvSpPr txBox="1">
          <a:spLocks noChangeArrowheads="1"/>
        </xdr:cNvSpPr>
      </xdr:nvSpPr>
      <xdr:spPr bwMode="auto">
        <a:xfrm>
          <a:off x="8877300" y="236220"/>
          <a:ext cx="4114800" cy="37338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167640</xdr:colOff>
      <xdr:row>0</xdr:row>
      <xdr:rowOff>266700</xdr:rowOff>
    </xdr:from>
    <xdr:to>
      <xdr:col>29</xdr:col>
      <xdr:colOff>929640</xdr:colOff>
      <xdr:row>0</xdr:row>
      <xdr:rowOff>678180</xdr:rowOff>
    </xdr:to>
    <xdr:pic>
      <xdr:nvPicPr>
        <xdr:cNvPr id="1027" name="Imagem 3">
          <a:extLst>
            <a:ext uri="{FF2B5EF4-FFF2-40B4-BE49-F238E27FC236}">
              <a16:creationId xmlns:a16="http://schemas.microsoft.com/office/drawing/2014/main" id="{C5DE9B05-2358-1316-A85F-FE417254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4620" y="266700"/>
          <a:ext cx="207264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34"/>
  <sheetViews>
    <sheetView tabSelected="1" zoomScale="80" zoomScaleNormal="80" workbookViewId="0">
      <pane xSplit="5" topLeftCell="F1" activePane="topRight" state="frozen"/>
      <selection pane="topRight" activeCell="D8" sqref="D8"/>
    </sheetView>
  </sheetViews>
  <sheetFormatPr defaultRowHeight="13.2" x14ac:dyDescent="0.25"/>
  <cols>
    <col min="1" max="1" width="1.88671875" customWidth="1"/>
    <col min="2" max="2" width="3.33203125" customWidth="1"/>
    <col min="3" max="3" width="4.6640625" customWidth="1"/>
    <col min="4" max="4" width="52.44140625" customWidth="1"/>
    <col min="5" max="5" width="1.6640625" customWidth="1"/>
    <col min="6" max="6" width="17.6640625" customWidth="1"/>
    <col min="7" max="7" width="1.6640625" customWidth="1"/>
    <col min="8" max="8" width="15.5546875" customWidth="1"/>
    <col min="9" max="9" width="1.6640625" customWidth="1"/>
    <col min="10" max="10" width="15.5546875" customWidth="1"/>
    <col min="11" max="11" width="1.6640625" customWidth="1"/>
    <col min="12" max="12" width="15.6640625" customWidth="1"/>
    <col min="13" max="13" width="1.6640625" customWidth="1"/>
    <col min="14" max="14" width="15.6640625" customWidth="1"/>
    <col min="15" max="15" width="2" customWidth="1"/>
    <col min="16" max="16" width="15.88671875" customWidth="1"/>
    <col min="17" max="17" width="1.88671875" customWidth="1"/>
    <col min="18" max="18" width="15.6640625" customWidth="1"/>
    <col min="19" max="19" width="1.88671875" customWidth="1"/>
    <col min="20" max="20" width="15.6640625" customWidth="1"/>
    <col min="21" max="21" width="2.109375" customWidth="1"/>
    <col min="22" max="22" width="15.6640625" customWidth="1"/>
    <col min="23" max="23" width="2" customWidth="1"/>
    <col min="24" max="24" width="15.6640625" customWidth="1"/>
    <col min="25" max="25" width="1.88671875" customWidth="1"/>
    <col min="26" max="26" width="15.5546875" customWidth="1"/>
    <col min="27" max="27" width="2.109375" customWidth="1"/>
    <col min="28" max="28" width="17.44140625" customWidth="1"/>
    <col min="29" max="29" width="1.6640625" customWidth="1"/>
    <col min="30" max="30" width="18.44140625" customWidth="1"/>
    <col min="31" max="31" width="1.88671875" customWidth="1"/>
    <col min="32" max="32" width="2.6640625" customWidth="1"/>
    <col min="35" max="35" width="2.6640625" customWidth="1"/>
  </cols>
  <sheetData>
    <row r="1" spans="2:35" ht="70.5" customHeight="1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5" ht="19.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5" ht="15" customHeight="1" x14ac:dyDescent="0.25">
      <c r="B3" s="48" t="s">
        <v>1</v>
      </c>
      <c r="C3" s="48"/>
      <c r="D3" s="48"/>
      <c r="E3" s="1"/>
      <c r="F3" s="49" t="s">
        <v>2</v>
      </c>
      <c r="G3" s="2"/>
      <c r="H3" s="49" t="s">
        <v>3</v>
      </c>
      <c r="I3" s="2"/>
      <c r="J3" s="49" t="s">
        <v>4</v>
      </c>
      <c r="K3" s="2"/>
      <c r="L3" s="49" t="s">
        <v>5</v>
      </c>
      <c r="M3" s="2"/>
      <c r="N3" s="49" t="s">
        <v>6</v>
      </c>
      <c r="O3" s="2"/>
      <c r="P3" s="49" t="s">
        <v>7</v>
      </c>
      <c r="Q3" s="2"/>
      <c r="R3" s="49" t="s">
        <v>8</v>
      </c>
      <c r="S3" s="2"/>
      <c r="T3" s="49" t="s">
        <v>9</v>
      </c>
      <c r="U3" s="3"/>
      <c r="V3" s="49" t="s">
        <v>10</v>
      </c>
      <c r="W3" s="4"/>
      <c r="X3" s="49" t="s">
        <v>11</v>
      </c>
      <c r="Y3" s="3"/>
      <c r="Z3" s="50" t="s">
        <v>12</v>
      </c>
      <c r="AA3" s="3"/>
      <c r="AB3" s="50" t="s">
        <v>13</v>
      </c>
      <c r="AC3" s="3"/>
      <c r="AD3" s="51" t="s">
        <v>14</v>
      </c>
      <c r="AF3" s="5"/>
      <c r="AI3" s="5"/>
    </row>
    <row r="4" spans="2:35" x14ac:dyDescent="0.25">
      <c r="B4" s="48"/>
      <c r="C4" s="48"/>
      <c r="D4" s="48"/>
      <c r="E4" s="1"/>
      <c r="F4" s="49"/>
      <c r="G4" s="6"/>
      <c r="H4" s="49"/>
      <c r="I4" s="6"/>
      <c r="J4" s="49"/>
      <c r="K4" s="6"/>
      <c r="L4" s="49"/>
      <c r="M4" s="7"/>
      <c r="N4" s="49"/>
      <c r="O4" s="6"/>
      <c r="P4" s="49"/>
      <c r="Q4" s="6"/>
      <c r="R4" s="49"/>
      <c r="S4" s="6"/>
      <c r="T4" s="49"/>
      <c r="U4" s="8"/>
      <c r="V4" s="49"/>
      <c r="W4" s="9"/>
      <c r="X4" s="49"/>
      <c r="Y4" s="10"/>
      <c r="Z4" s="50"/>
      <c r="AA4" s="8"/>
      <c r="AB4" s="50"/>
      <c r="AC4" s="8"/>
      <c r="AD4" s="51"/>
      <c r="AF4" s="5"/>
      <c r="AI4" s="5"/>
    </row>
    <row r="5" spans="2:35" ht="20.100000000000001" customHeight="1" x14ac:dyDescent="0.25">
      <c r="B5" s="52" t="s">
        <v>15</v>
      </c>
      <c r="C5" s="52"/>
      <c r="D5" s="52"/>
      <c r="E5" s="1"/>
      <c r="F5" s="49"/>
      <c r="G5" s="7"/>
      <c r="H5" s="49"/>
      <c r="I5" s="7"/>
      <c r="J5" s="49"/>
      <c r="K5" s="7"/>
      <c r="L5" s="49"/>
      <c r="M5" s="7"/>
      <c r="N5" s="49"/>
      <c r="O5" s="7"/>
      <c r="P5" s="49"/>
      <c r="Q5" s="7"/>
      <c r="R5" s="49"/>
      <c r="S5" s="7"/>
      <c r="T5" s="49"/>
      <c r="U5" s="10"/>
      <c r="V5" s="49"/>
      <c r="W5" s="11"/>
      <c r="X5" s="49"/>
      <c r="Y5" s="10"/>
      <c r="Z5" s="50"/>
      <c r="AA5" s="10"/>
      <c r="AB5" s="50"/>
      <c r="AC5" s="10"/>
      <c r="AD5" s="51"/>
      <c r="AF5" s="5"/>
      <c r="AI5" s="5"/>
    </row>
    <row r="6" spans="2:35" ht="20.100000000000001" customHeight="1" x14ac:dyDescent="0.25">
      <c r="B6" s="53" t="s">
        <v>16</v>
      </c>
      <c r="C6" s="53"/>
      <c r="D6" s="53"/>
      <c r="E6" s="1"/>
      <c r="F6" s="12">
        <f>F7+F12</f>
        <v>5651858.8300000001</v>
      </c>
      <c r="G6" s="13"/>
      <c r="H6" s="12">
        <f>H7+H12</f>
        <v>7548356.8900000006</v>
      </c>
      <c r="I6" s="13"/>
      <c r="J6" s="12">
        <f>J7+J12</f>
        <v>8683768.9800000004</v>
      </c>
      <c r="K6" s="13"/>
      <c r="L6" s="12">
        <f>L7+L12</f>
        <v>8351261.4699999988</v>
      </c>
      <c r="M6" s="13"/>
      <c r="N6" s="12">
        <f>N7+N12</f>
        <v>14447517.950000003</v>
      </c>
      <c r="O6" s="13"/>
      <c r="P6" s="12">
        <f>P7+P12</f>
        <v>8954019.1299999952</v>
      </c>
      <c r="Q6" s="13"/>
      <c r="R6" s="12">
        <f>R7+R12</f>
        <v>11325963.160000002</v>
      </c>
      <c r="S6" s="13"/>
      <c r="T6" s="12">
        <f>T7+T12</f>
        <v>9802907.5299999956</v>
      </c>
      <c r="U6" s="13"/>
      <c r="V6" s="12">
        <f>V7+V12</f>
        <v>9704733.7700000051</v>
      </c>
      <c r="W6" s="13"/>
      <c r="X6" s="12">
        <f>X7+X12</f>
        <v>10074011.149999999</v>
      </c>
      <c r="Y6" s="10"/>
      <c r="Z6" s="12">
        <f>Z7+Z12</f>
        <v>10662672.109999992</v>
      </c>
      <c r="AA6" s="14"/>
      <c r="AB6" s="12">
        <f>AB7+AB12</f>
        <v>27644979.529999994</v>
      </c>
      <c r="AC6" s="13"/>
      <c r="AD6" s="15">
        <f>AD7+AD12</f>
        <v>132852050.49999997</v>
      </c>
      <c r="AF6" s="5"/>
      <c r="AI6" s="5"/>
    </row>
    <row r="7" spans="2:35" ht="20.100000000000001" customHeight="1" x14ac:dyDescent="0.25">
      <c r="B7" s="16"/>
      <c r="C7" s="54" t="s">
        <v>17</v>
      </c>
      <c r="D7" s="54"/>
      <c r="E7" s="1"/>
      <c r="F7" s="17">
        <f>F8+F9+F10+F11</f>
        <v>5291548.3900000006</v>
      </c>
      <c r="G7" s="18"/>
      <c r="H7" s="17">
        <f>H8+H9+H10+H11</f>
        <v>5300141.4000000004</v>
      </c>
      <c r="I7" s="18"/>
      <c r="J7" s="17">
        <f>J8+J9+J10+J11</f>
        <v>5150009.3100000005</v>
      </c>
      <c r="K7" s="18"/>
      <c r="L7" s="17">
        <f>L8+L9+L10+L11</f>
        <v>5215586.3599999985</v>
      </c>
      <c r="M7" s="18"/>
      <c r="N7" s="17">
        <f>N8+N9+N10+N11</f>
        <v>5988572.2900000019</v>
      </c>
      <c r="O7" s="18"/>
      <c r="P7" s="17">
        <f>P8+P9+P10+P11</f>
        <v>5856703.3699999955</v>
      </c>
      <c r="Q7" s="18"/>
      <c r="R7" s="17">
        <f>R8+R9+R10+R11</f>
        <v>5288693.6700000027</v>
      </c>
      <c r="S7" s="18"/>
      <c r="T7" s="17">
        <f>T8+T9+T10+T11</f>
        <v>5735689.8399999961</v>
      </c>
      <c r="U7" s="18"/>
      <c r="V7" s="17">
        <f>V8+V9+V10+V11</f>
        <v>5498093.1800000062</v>
      </c>
      <c r="W7" s="18"/>
      <c r="X7" s="17">
        <f>X8+X9+X10+X11</f>
        <v>5604225.2799999993</v>
      </c>
      <c r="Y7" s="10"/>
      <c r="Z7" s="17">
        <f>Z8+Z9+Z10+Z11</f>
        <v>7074132.9099999936</v>
      </c>
      <c r="AA7" s="19"/>
      <c r="AB7" s="17">
        <f>AB8+AB9+AB10+AB11</f>
        <v>12136028.84</v>
      </c>
      <c r="AC7" s="18"/>
      <c r="AD7" s="17">
        <f>SUM(AD8:AD11)</f>
        <v>74139424.839999989</v>
      </c>
      <c r="AF7" s="5"/>
      <c r="AI7" s="5"/>
    </row>
    <row r="8" spans="2:35" ht="20.100000000000001" customHeight="1" x14ac:dyDescent="0.25">
      <c r="B8" s="16"/>
      <c r="C8" s="20"/>
      <c r="D8" s="21" t="s">
        <v>18</v>
      </c>
      <c r="E8" s="22"/>
      <c r="F8" s="23">
        <v>18738.080000000002</v>
      </c>
      <c r="G8" s="24"/>
      <c r="H8" s="23">
        <f>35710.91-F8</f>
        <v>16972.830000000002</v>
      </c>
      <c r="I8" s="24"/>
      <c r="J8" s="23">
        <f>54559.46-F8-H8</f>
        <v>18848.549999999996</v>
      </c>
      <c r="K8" s="24"/>
      <c r="L8" s="23">
        <f>72908.55-F8-H8-J8</f>
        <v>18349.090000000004</v>
      </c>
      <c r="M8" s="24"/>
      <c r="N8" s="23">
        <f>99678.15-F8-H8-J8-L8</f>
        <v>26769.599999999991</v>
      </c>
      <c r="O8" s="24"/>
      <c r="P8" s="23">
        <f>120630.98-F8-H8-J8-L8-N8</f>
        <v>20952.829999999994</v>
      </c>
      <c r="Q8" s="24"/>
      <c r="R8" s="23">
        <v>24022.490000000027</v>
      </c>
      <c r="S8" s="24"/>
      <c r="T8" s="23">
        <f>+166355.47-F8-H8-J8-L8-N8-P8-R8</f>
        <v>21702</v>
      </c>
      <c r="U8" s="25"/>
      <c r="V8" s="23">
        <f>+189757.43-F8-H8-J8-L8-N8-P8-R8-T8</f>
        <v>23401.959999999955</v>
      </c>
      <c r="W8" s="25"/>
      <c r="X8" s="23">
        <f>+212786.09-F8-H8-J8-L8-N8-P8-R8-T8-V8</f>
        <v>23028.66000000004</v>
      </c>
      <c r="Y8" s="26"/>
      <c r="Z8" s="23">
        <f>+235351.25-F8-H8-J8-L8-N8-P8-R8-T8-V8-X8</f>
        <v>22565.159999999974</v>
      </c>
      <c r="AA8" s="26"/>
      <c r="AB8" s="23">
        <f>+278470.83-F8-H8-J8-L8-N8-P8-R8-T8-V8-X8-Z8</f>
        <v>43119.580000000016</v>
      </c>
      <c r="AC8" s="25"/>
      <c r="AD8" s="27">
        <f t="shared" ref="AD8:AD11" si="0">F8+H8+J8+L8+N8+P8+R8+T8+V8+X8+Z8+AB8</f>
        <v>278470.82999999996</v>
      </c>
      <c r="AF8" s="5"/>
      <c r="AI8" s="5"/>
    </row>
    <row r="9" spans="2:35" ht="20.100000000000001" customHeight="1" x14ac:dyDescent="0.25">
      <c r="B9" s="16"/>
      <c r="C9" s="20"/>
      <c r="D9" s="21" t="s">
        <v>19</v>
      </c>
      <c r="E9" s="22"/>
      <c r="F9" s="23">
        <v>3987559.11</v>
      </c>
      <c r="G9" s="24"/>
      <c r="H9" s="23">
        <f>8072647.37-F9</f>
        <v>4085088.2600000002</v>
      </c>
      <c r="I9" s="24"/>
      <c r="J9" s="23">
        <f>11964560.21-F9-H9</f>
        <v>3891912.8400000012</v>
      </c>
      <c r="K9" s="24"/>
      <c r="L9" s="23">
        <f>15958482.77-F9-H9-J9</f>
        <v>3993922.5599999991</v>
      </c>
      <c r="M9" s="24"/>
      <c r="N9" s="23">
        <f>20517630.92-F9-H9-J9-L9</f>
        <v>4559148.1500000022</v>
      </c>
      <c r="O9" s="24"/>
      <c r="P9" s="23">
        <f>25091127.54-F9-H9-J9-L9-N9</f>
        <v>4573496.6199999955</v>
      </c>
      <c r="Q9" s="24"/>
      <c r="R9" s="23">
        <v>3947410.910000002</v>
      </c>
      <c r="S9" s="24"/>
      <c r="T9" s="23">
        <f>+8364825.21-R9</f>
        <v>4417414.299999998</v>
      </c>
      <c r="U9" s="25"/>
      <c r="V9" s="23">
        <f>+37611026.06-F9-H9-J9-L9-N9-P9-R9-T9</f>
        <v>4155073.3100000052</v>
      </c>
      <c r="W9" s="25"/>
      <c r="X9" s="23">
        <f>+41840068.19-F9-H9-J9-L9-N9-P9-R9-T9-V9</f>
        <v>4229042.129999999</v>
      </c>
      <c r="Y9" s="26"/>
      <c r="Z9" s="23">
        <f>+47469989.62-F9-H9-J9-L9-N9-P9-R9-T9-V9-X9</f>
        <v>5629921.4299999923</v>
      </c>
      <c r="AA9" s="26"/>
      <c r="AB9" s="23">
        <f>+56489872.33-F9-H9-J9-L9-N9-P9-R9-T9-V9-X9-Z9</f>
        <v>9019882.7100000009</v>
      </c>
      <c r="AC9" s="25"/>
      <c r="AD9" s="27">
        <f t="shared" si="0"/>
        <v>56489872.329999991</v>
      </c>
      <c r="AF9" s="5"/>
      <c r="AI9" s="5"/>
    </row>
    <row r="10" spans="2:35" ht="20.100000000000001" customHeight="1" x14ac:dyDescent="0.25">
      <c r="B10" s="16"/>
      <c r="C10" s="20"/>
      <c r="D10" s="21" t="s">
        <v>20</v>
      </c>
      <c r="E10" s="22"/>
      <c r="F10" s="23">
        <v>1284774.01</v>
      </c>
      <c r="G10" s="24"/>
      <c r="H10" s="23">
        <f>2482445.99-F10</f>
        <v>1197671.9800000002</v>
      </c>
      <c r="I10" s="24"/>
      <c r="J10" s="23">
        <f>3707840.77-F10-H10</f>
        <v>1225394.7799999996</v>
      </c>
      <c r="K10" s="24"/>
      <c r="L10" s="23">
        <f>4910728.89-F10-H10-J10</f>
        <v>1202888.1199999999</v>
      </c>
      <c r="M10" s="24"/>
      <c r="N10" s="23">
        <f>6310184.97-F10-H10-J10-L10</f>
        <v>1399456.0800000003</v>
      </c>
      <c r="O10" s="24"/>
      <c r="P10" s="23">
        <f>7566875.92-F10-H10-J10-L10-N10</f>
        <v>1256690.95</v>
      </c>
      <c r="Q10" s="24"/>
      <c r="R10" s="23">
        <v>1313437.8800000011</v>
      </c>
      <c r="S10" s="24"/>
      <c r="T10" s="23">
        <f>+2606356.82-R10</f>
        <v>1292918.9399999988</v>
      </c>
      <c r="U10" s="25"/>
      <c r="V10" s="23">
        <f>+11486841.49-F10-H10-J10-L10-N10-P10-R10-T10</f>
        <v>1313608.7500000007</v>
      </c>
      <c r="W10" s="25"/>
      <c r="X10" s="23">
        <f>+12820244.25-F10-H10-J10-L10-N10-P10-R10-T10-V10</f>
        <v>1333402.76</v>
      </c>
      <c r="Y10" s="26"/>
      <c r="Z10" s="23">
        <f>+14229828.99-F10-H10-J10-L10-N10-P10-R10-T10-V10-X10</f>
        <v>1409584.7400000009</v>
      </c>
      <c r="AA10" s="26"/>
      <c r="AB10" s="23">
        <f>+17278428.81-F10-H10-J10-L10-N10-P10-R10-T10-V10-X10-Z10</f>
        <v>3048599.8199999994</v>
      </c>
      <c r="AC10" s="25"/>
      <c r="AD10" s="27">
        <f t="shared" si="0"/>
        <v>17278428.809999999</v>
      </c>
      <c r="AF10" s="5"/>
      <c r="AI10" s="5"/>
    </row>
    <row r="11" spans="2:35" ht="20.100000000000001" customHeight="1" x14ac:dyDescent="0.25">
      <c r="B11" s="16"/>
      <c r="C11" s="28"/>
      <c r="D11" s="21" t="s">
        <v>21</v>
      </c>
      <c r="E11" s="22"/>
      <c r="F11" s="23">
        <v>477.19</v>
      </c>
      <c r="G11" s="24"/>
      <c r="H11" s="23">
        <f>885.52-F11</f>
        <v>408.33</v>
      </c>
      <c r="I11" s="24"/>
      <c r="J11" s="23">
        <f>14738.66-F11-H11</f>
        <v>13853.14</v>
      </c>
      <c r="K11" s="24"/>
      <c r="L11" s="23">
        <f>15165.25-F11-H11-J11</f>
        <v>426.59000000000015</v>
      </c>
      <c r="M11" s="24"/>
      <c r="N11" s="23">
        <f>18363.71-F11-H11-J11-L11</f>
        <v>3198.4599999999991</v>
      </c>
      <c r="O11" s="24"/>
      <c r="P11" s="23">
        <f>23926.68-F11-H11-J11-L11-N11</f>
        <v>5562.9700000000012</v>
      </c>
      <c r="Q11" s="24"/>
      <c r="R11" s="23">
        <v>3822.3899999999994</v>
      </c>
      <c r="S11" s="24"/>
      <c r="T11" s="23">
        <f>+7476.99-R11</f>
        <v>3654.6000000000004</v>
      </c>
      <c r="U11" s="25"/>
      <c r="V11" s="23">
        <f>+37412.83-F11-H11-J11-L11-N11-P11-R11-T11</f>
        <v>6009.159999999998</v>
      </c>
      <c r="W11" s="25"/>
      <c r="X11" s="23">
        <f>+56164.56-F11-H11-J11-L11-N11-P11-R11-T11-V11</f>
        <v>18751.730000000003</v>
      </c>
      <c r="Y11" s="26"/>
      <c r="Z11" s="23">
        <f>+68226.14-F11-H11-J11-L11-N11-P11-R11-T11-V11-X11</f>
        <v>12061.580000000002</v>
      </c>
      <c r="AA11" s="26"/>
      <c r="AB11" s="23">
        <f>+92652.87-F11-H11-J11-L11-N11-P11-R11-T11-V11-X11-Z11</f>
        <v>24426.730000000003</v>
      </c>
      <c r="AC11" s="25"/>
      <c r="AD11" s="27">
        <f t="shared" si="0"/>
        <v>92652.87</v>
      </c>
      <c r="AF11" s="5"/>
      <c r="AI11" s="5"/>
    </row>
    <row r="12" spans="2:35" s="29" customFormat="1" ht="20.100000000000001" customHeight="1" x14ac:dyDescent="0.25">
      <c r="B12" s="16"/>
      <c r="C12" s="55" t="s">
        <v>22</v>
      </c>
      <c r="D12" s="55"/>
      <c r="E12" s="30"/>
      <c r="F12" s="31">
        <f>SUM(F13:F26)</f>
        <v>360310.43999999994</v>
      </c>
      <c r="G12" s="32"/>
      <c r="H12" s="31">
        <f>SUM(H13:H26)</f>
        <v>2248215.4899999998</v>
      </c>
      <c r="I12" s="32"/>
      <c r="J12" s="31">
        <f>SUM(J13:J26)</f>
        <v>3533759.67</v>
      </c>
      <c r="K12" s="32"/>
      <c r="L12" s="31">
        <f>SUM(L13:L26)</f>
        <v>3135675.11</v>
      </c>
      <c r="M12" s="32"/>
      <c r="N12" s="31">
        <f>SUM(N13:N26)</f>
        <v>8458945.660000002</v>
      </c>
      <c r="O12" s="32"/>
      <c r="P12" s="31">
        <f>SUM(P13:P26)</f>
        <v>3097315.76</v>
      </c>
      <c r="Q12" s="32"/>
      <c r="R12" s="31">
        <f>SUM(R13:R26)</f>
        <v>6037269.4899999993</v>
      </c>
      <c r="S12" s="32"/>
      <c r="T12" s="31">
        <f>SUM(T13:T26)</f>
        <v>4067217.6899999995</v>
      </c>
      <c r="U12" s="32"/>
      <c r="V12" s="31">
        <f>SUM(V13:V26)</f>
        <v>4206640.5899999989</v>
      </c>
      <c r="W12" s="32"/>
      <c r="X12" s="31">
        <f>SUM(X13:X26)</f>
        <v>4469785.8699999992</v>
      </c>
      <c r="Y12" s="26"/>
      <c r="Z12" s="31">
        <f>SUM(Z13:Z26)</f>
        <v>3588539.1999999974</v>
      </c>
      <c r="AA12" s="19"/>
      <c r="AB12" s="31">
        <f>SUM(AB13:AB26)</f>
        <v>15508950.689999996</v>
      </c>
      <c r="AC12" s="32"/>
      <c r="AD12" s="31">
        <f>SUM(AD13:AD26)</f>
        <v>58712625.659999989</v>
      </c>
      <c r="AF12" s="33"/>
      <c r="AI12" s="33"/>
    </row>
    <row r="13" spans="2:35" ht="20.100000000000001" customHeight="1" x14ac:dyDescent="0.25">
      <c r="B13" s="16"/>
      <c r="C13" s="34"/>
      <c r="D13" s="21" t="s">
        <v>23</v>
      </c>
      <c r="E13" s="22"/>
      <c r="F13" s="23">
        <v>0</v>
      </c>
      <c r="G13" s="24"/>
      <c r="H13" s="23">
        <v>0</v>
      </c>
      <c r="I13" s="24"/>
      <c r="J13" s="23">
        <v>0</v>
      </c>
      <c r="K13" s="24"/>
      <c r="L13" s="23">
        <v>0</v>
      </c>
      <c r="M13" s="24"/>
      <c r="N13" s="23">
        <v>1980084.96</v>
      </c>
      <c r="O13" s="24"/>
      <c r="P13" s="23">
        <f>1980084.96-N13</f>
        <v>0</v>
      </c>
      <c r="Q13" s="24"/>
      <c r="R13" s="23">
        <v>2739197.8099999996</v>
      </c>
      <c r="S13" s="24"/>
      <c r="T13" s="23">
        <f>+3459796.66-R13</f>
        <v>720598.85000000056</v>
      </c>
      <c r="U13" s="25"/>
      <c r="V13" s="23">
        <f>+5439881.62-N13-R13-T13</f>
        <v>0</v>
      </c>
      <c r="W13" s="25"/>
      <c r="X13" s="23">
        <f>+5439881.62-N13-R13-T13</f>
        <v>0</v>
      </c>
      <c r="Y13" s="26"/>
      <c r="Z13" s="23">
        <f>+6441741.88-N13-R13-T13</f>
        <v>1001860.2599999998</v>
      </c>
      <c r="AA13" s="26"/>
      <c r="AB13" s="23">
        <f>+7500595.5-N13-R13-T13-Z13</f>
        <v>1058853.6200000001</v>
      </c>
      <c r="AC13" s="25"/>
      <c r="AD13" s="27">
        <f t="shared" ref="AD13:AD26" si="1">F13+H13+J13+L13+N13+P13+R13+T13+V13+X13+Z13+AB13</f>
        <v>7500595.5</v>
      </c>
      <c r="AF13" s="5"/>
      <c r="AI13" s="5"/>
    </row>
    <row r="14" spans="2:35" ht="20.100000000000001" customHeight="1" x14ac:dyDescent="0.25">
      <c r="B14" s="16"/>
      <c r="C14" s="34"/>
      <c r="D14" s="21" t="s">
        <v>24</v>
      </c>
      <c r="E14" s="22"/>
      <c r="F14" s="23">
        <v>21147.7</v>
      </c>
      <c r="G14" s="24"/>
      <c r="H14" s="23">
        <f>44479.68-F14</f>
        <v>23331.98</v>
      </c>
      <c r="I14" s="24"/>
      <c r="J14" s="23">
        <f>67905.3-F14-H14</f>
        <v>23425.620000000006</v>
      </c>
      <c r="K14" s="24"/>
      <c r="L14" s="23">
        <f>88733.34-F14-H14-J14</f>
        <v>20828.039999999997</v>
      </c>
      <c r="M14" s="24"/>
      <c r="N14" s="23">
        <f>111528.05-F14-H14-J14-L14</f>
        <v>22794.710000000003</v>
      </c>
      <c r="O14" s="24"/>
      <c r="P14" s="23">
        <f>131681.31-F14-H14-J14-L14-N14</f>
        <v>20153.259999999998</v>
      </c>
      <c r="Q14" s="24"/>
      <c r="R14" s="23">
        <v>21742.399999999976</v>
      </c>
      <c r="S14" s="24"/>
      <c r="T14" s="23">
        <f>+43334.07-R14</f>
        <v>21591.670000000024</v>
      </c>
      <c r="U14" s="25"/>
      <c r="V14" s="23">
        <f>+197610.56-F14-H14-J14-L14-N14-P14-R14-T14</f>
        <v>22595.179999999968</v>
      </c>
      <c r="W14" s="25"/>
      <c r="X14" s="23">
        <f>+221924.51-F14-H14-J14-L14-N14-P14-R14-T14-V14</f>
        <v>24313.950000000008</v>
      </c>
      <c r="Y14" s="26"/>
      <c r="Z14" s="23">
        <f>+246119.32-F14-H14-J14-L14-N14-P14-R14-T14-V14-X14</f>
        <v>24194.810000000016</v>
      </c>
      <c r="AA14" s="26"/>
      <c r="AB14" s="23">
        <f>+276119.32-F14-H14-J14-L14-N14-P14-R14-T14-V14-X14-Z14</f>
        <v>29999.999999999982</v>
      </c>
      <c r="AC14" s="25"/>
      <c r="AD14" s="27">
        <f t="shared" si="1"/>
        <v>276119.31999999995</v>
      </c>
      <c r="AF14" s="5"/>
      <c r="AI14" s="5"/>
    </row>
    <row r="15" spans="2:35" ht="20.100000000000001" customHeight="1" x14ac:dyDescent="0.25">
      <c r="B15" s="16"/>
      <c r="C15" s="34"/>
      <c r="D15" s="21" t="s">
        <v>25</v>
      </c>
      <c r="E15" s="22"/>
      <c r="F15" s="23">
        <v>2055.56</v>
      </c>
      <c r="G15" s="24"/>
      <c r="H15" s="23">
        <f>64738.66-F15</f>
        <v>62683.100000000006</v>
      </c>
      <c r="I15" s="24"/>
      <c r="J15" s="23">
        <f>139325.54-F15-H15</f>
        <v>74586.880000000005</v>
      </c>
      <c r="K15" s="24"/>
      <c r="L15" s="23">
        <f>228055.06-F15-H15-J15</f>
        <v>88729.51999999999</v>
      </c>
      <c r="M15" s="24"/>
      <c r="N15" s="23">
        <f>327093.42-F15-H15-J15-L15</f>
        <v>99038.360000000015</v>
      </c>
      <c r="O15" s="24"/>
      <c r="P15" s="23">
        <f>428475.1-F15-H15-J15-L15-N15</f>
        <v>101381.67999999993</v>
      </c>
      <c r="Q15" s="24"/>
      <c r="R15" s="23">
        <v>120580.92000000001</v>
      </c>
      <c r="S15" s="24"/>
      <c r="T15" s="23">
        <f>+253022.57-R15</f>
        <v>132441.65</v>
      </c>
      <c r="U15" s="25"/>
      <c r="V15" s="23">
        <f>+820373.57-F15-H15-J15-L15-N15-P15-R15-T15</f>
        <v>138875.89999999994</v>
      </c>
      <c r="W15" s="25"/>
      <c r="X15" s="23">
        <f>+951520.35-F15-H15-J15-L15-N15-P15-R15-T15-V15</f>
        <v>131146.78</v>
      </c>
      <c r="Y15" s="26"/>
      <c r="Z15" s="23">
        <f>+1073704.61-F15-H15-J15-L15-N15-P15-R15-T15-V15-X15</f>
        <v>122184.26000000013</v>
      </c>
      <c r="AA15" s="26"/>
      <c r="AB15" s="23">
        <f>+1312610.73-F15-H15-J15-L15-N15-P15-R15-T15-V15-X15-Z15</f>
        <v>238906.11999999988</v>
      </c>
      <c r="AC15" s="25"/>
      <c r="AD15" s="27">
        <f t="shared" si="1"/>
        <v>1312610.73</v>
      </c>
      <c r="AF15" s="5"/>
      <c r="AI15" s="5"/>
    </row>
    <row r="16" spans="2:35" ht="20.100000000000001" customHeight="1" x14ac:dyDescent="0.25">
      <c r="B16" s="16"/>
      <c r="C16" s="34"/>
      <c r="D16" s="21" t="s">
        <v>26</v>
      </c>
      <c r="E16" s="22"/>
      <c r="F16" s="23">
        <v>0</v>
      </c>
      <c r="G16" s="24"/>
      <c r="H16" s="23">
        <f>13998-F16</f>
        <v>13998</v>
      </c>
      <c r="I16" s="24"/>
      <c r="J16" s="23">
        <f>53762.46-H16</f>
        <v>39764.46</v>
      </c>
      <c r="K16" s="24"/>
      <c r="L16" s="23">
        <f>63303.81-H16-J16</f>
        <v>9541.3499999999985</v>
      </c>
      <c r="M16" s="24"/>
      <c r="N16" s="23">
        <f>75197.69-H16-J16-L16</f>
        <v>11893.880000000005</v>
      </c>
      <c r="O16" s="24"/>
      <c r="P16" s="23">
        <f>110347.69-H16-J16-L16-N16</f>
        <v>35150</v>
      </c>
      <c r="Q16" s="24"/>
      <c r="R16" s="23">
        <v>21453.279999999999</v>
      </c>
      <c r="S16" s="24"/>
      <c r="T16" s="23">
        <f>+21969.28-R16</f>
        <v>516</v>
      </c>
      <c r="U16" s="25"/>
      <c r="V16" s="23">
        <f>+144526.16-H16-J16-L16-N16-P16-R16-T16</f>
        <v>12209.190000000002</v>
      </c>
      <c r="W16" s="25"/>
      <c r="X16" s="23">
        <f>+172240.68-H16-J16-L16-N16-P16-R16-T16-V16</f>
        <v>27714.51999999999</v>
      </c>
      <c r="Y16" s="26"/>
      <c r="Z16" s="23">
        <f>+173973.68-H16-J16-L16-N16-P16-R16-T16-V16-X16</f>
        <v>1733</v>
      </c>
      <c r="AA16" s="26"/>
      <c r="AB16" s="23">
        <f>+216990.45-H16-J16-L16-N16-P16-R16-T16-V16-X16-Z16</f>
        <v>43016.770000000019</v>
      </c>
      <c r="AC16" s="25"/>
      <c r="AD16" s="27">
        <f t="shared" si="1"/>
        <v>216990.45</v>
      </c>
      <c r="AF16" s="5"/>
      <c r="AI16" s="5"/>
    </row>
    <row r="17" spans="2:35" ht="20.100000000000001" customHeight="1" x14ac:dyDescent="0.25">
      <c r="B17" s="16"/>
      <c r="C17" s="34"/>
      <c r="D17" s="21" t="s">
        <v>27</v>
      </c>
      <c r="E17" s="22"/>
      <c r="F17" s="23">
        <v>7129.89</v>
      </c>
      <c r="G17" s="24"/>
      <c r="H17" s="23">
        <f>259264.79-F17</f>
        <v>252134.9</v>
      </c>
      <c r="I17" s="24"/>
      <c r="J17" s="23">
        <f>518530.04-F17-H17</f>
        <v>259265.24999999997</v>
      </c>
      <c r="K17" s="24"/>
      <c r="L17" s="23">
        <f>687398.21-F17-H17-J17</f>
        <v>168868.16999999995</v>
      </c>
      <c r="M17" s="24"/>
      <c r="N17" s="23">
        <f>1038333.99-F17-H17-J17-L17</f>
        <v>350935.78</v>
      </c>
      <c r="O17" s="24"/>
      <c r="P17" s="23">
        <f>1312010.1-F17-H17-J17-L17-N17</f>
        <v>273676.11000000034</v>
      </c>
      <c r="Q17" s="24"/>
      <c r="R17" s="23">
        <v>270123.51</v>
      </c>
      <c r="S17" s="24"/>
      <c r="T17" s="23">
        <f>+532972.82-R17</f>
        <v>262849.30999999994</v>
      </c>
      <c r="U17" s="25"/>
      <c r="V17" s="23">
        <f>+2133041.66-F17-H17-J17-L17-N17-P17-R17-T17</f>
        <v>288058.73999999987</v>
      </c>
      <c r="W17" s="25"/>
      <c r="X17" s="23">
        <f>+2415847.66-F17-H17-J17-L17-N17-P17-R17-T17-V17</f>
        <v>282806</v>
      </c>
      <c r="Y17" s="26"/>
      <c r="Z17" s="23">
        <f>+2712898.82-F17-H17-J17-L17-N17-P17-R17-T17-V17-X17</f>
        <v>297051.15999999968</v>
      </c>
      <c r="AA17" s="26"/>
      <c r="AB17" s="23">
        <f>+3360977.63-F17-H17-J17-L17-N17-P17-R17-T17-V17-X17-Z17</f>
        <v>648078.81000000006</v>
      </c>
      <c r="AC17" s="25"/>
      <c r="AD17" s="27">
        <f t="shared" si="1"/>
        <v>3360977.63</v>
      </c>
      <c r="AF17" s="5"/>
      <c r="AI17" s="5"/>
    </row>
    <row r="18" spans="2:35" ht="20.100000000000001" customHeight="1" x14ac:dyDescent="0.25">
      <c r="B18" s="16"/>
      <c r="C18" s="34"/>
      <c r="D18" s="21" t="s">
        <v>28</v>
      </c>
      <c r="E18" s="22"/>
      <c r="F18" s="23">
        <v>3222.12</v>
      </c>
      <c r="G18" s="24"/>
      <c r="H18" s="23">
        <f>32962.52-F18</f>
        <v>29740.399999999998</v>
      </c>
      <c r="I18" s="24"/>
      <c r="J18" s="23">
        <f>71825.1-F18-H18</f>
        <v>38862.580000000016</v>
      </c>
      <c r="K18" s="24"/>
      <c r="L18" s="23">
        <f>96637.73-F18-H18-J18</f>
        <v>24812.62999999999</v>
      </c>
      <c r="M18" s="24"/>
      <c r="N18" s="23">
        <f>114530.93-F18-H18-J18-L18</f>
        <v>17893.199999999997</v>
      </c>
      <c r="O18" s="24"/>
      <c r="P18" s="23">
        <f>122839.58-F18-H18-J18-L18-N18</f>
        <v>8308.6500000000087</v>
      </c>
      <c r="Q18" s="24"/>
      <c r="R18" s="23">
        <v>15680.999999999985</v>
      </c>
      <c r="S18" s="24"/>
      <c r="T18" s="23">
        <f>+31084.45-R18</f>
        <v>15403.450000000015</v>
      </c>
      <c r="U18" s="25"/>
      <c r="V18" s="23">
        <f>+158160.47-F18-H18-J18-L18-N18-P18-R18-T18</f>
        <v>4236.4399999999987</v>
      </c>
      <c r="W18" s="25"/>
      <c r="X18" s="23">
        <f>+178041.53-F18-H18-J18-L18-N18-P18-R18-T18-V18</f>
        <v>19881.059999999998</v>
      </c>
      <c r="Y18" s="26"/>
      <c r="Z18" s="23">
        <f>+183678.46-F18-H18-J18-L18-N18-P18-R18-T18-V18-X18</f>
        <v>5636.929999999993</v>
      </c>
      <c r="AA18" s="26"/>
      <c r="AB18" s="23">
        <f>+556774.15-F18-H18-J18-L18-N18-P18-R18-T18-V18-X18-Z18</f>
        <v>373095.68999999994</v>
      </c>
      <c r="AC18" s="25"/>
      <c r="AD18" s="27">
        <f t="shared" si="1"/>
        <v>556774.14999999991</v>
      </c>
      <c r="AF18" s="5"/>
      <c r="AI18" s="5"/>
    </row>
    <row r="19" spans="2:35" ht="20.100000000000001" customHeight="1" x14ac:dyDescent="0.25">
      <c r="B19" s="16"/>
      <c r="C19" s="34"/>
      <c r="D19" s="21" t="s">
        <v>29</v>
      </c>
      <c r="E19" s="22"/>
      <c r="F19" s="23">
        <v>0</v>
      </c>
      <c r="G19" s="24"/>
      <c r="H19" s="23">
        <v>374964.98</v>
      </c>
      <c r="I19" s="24"/>
      <c r="J19" s="23">
        <f>749929.96-H19</f>
        <v>374964.98</v>
      </c>
      <c r="K19" s="24"/>
      <c r="L19" s="23">
        <f>1124894.94-H19-J19</f>
        <v>374964.98</v>
      </c>
      <c r="M19" s="24"/>
      <c r="N19" s="23">
        <f>1498226.01-H19-J19-L19</f>
        <v>373331.07000000007</v>
      </c>
      <c r="O19" s="24"/>
      <c r="P19" s="23">
        <f>1842013.88-H19-J19-L19-N19</f>
        <v>343787.86999999988</v>
      </c>
      <c r="Q19" s="24"/>
      <c r="R19" s="23">
        <v>343787.87000000011</v>
      </c>
      <c r="S19" s="24"/>
      <c r="T19" s="23">
        <f>+687575.74-R19</f>
        <v>343787.86999999988</v>
      </c>
      <c r="U19" s="25"/>
      <c r="V19" s="23">
        <f>+2891466.31-H19-J19-L19-N19-P19-R19-T19</f>
        <v>361876.69000000018</v>
      </c>
      <c r="W19" s="25"/>
      <c r="X19" s="23">
        <f>+3231013.34-H19-J19-L19-N19-P19-R19-T19-V19</f>
        <v>339547.0299999998</v>
      </c>
      <c r="Y19" s="26"/>
      <c r="Z19" s="23">
        <f>+3585271.89-H19-J19-L19-N19-P19-R19-T19-V19-X19</f>
        <v>354258.55000000028</v>
      </c>
      <c r="AA19" s="26"/>
      <c r="AB19" s="23">
        <f>+4281877.95-H19-J19-L19-N19-P19-R19-T19-V19-X19-Z19</f>
        <v>696606.06</v>
      </c>
      <c r="AC19" s="25"/>
      <c r="AD19" s="27">
        <f t="shared" si="1"/>
        <v>4281877.9500000011</v>
      </c>
      <c r="AF19" s="5"/>
      <c r="AI19" s="5"/>
    </row>
    <row r="20" spans="2:35" ht="20.100000000000001" customHeight="1" x14ac:dyDescent="0.25">
      <c r="B20" s="16"/>
      <c r="C20" s="34"/>
      <c r="D20" s="21" t="s">
        <v>30</v>
      </c>
      <c r="E20" s="22"/>
      <c r="F20" s="23">
        <v>286250.96999999997</v>
      </c>
      <c r="G20" s="24"/>
      <c r="H20" s="23">
        <f>1587784.13-F20</f>
        <v>1301533.1599999999</v>
      </c>
      <c r="I20" s="24"/>
      <c r="J20" s="23">
        <f>2916767.44-F20-H20</f>
        <v>1328983.3099999998</v>
      </c>
      <c r="K20" s="24"/>
      <c r="L20" s="23">
        <f>4623907.84-F20-H20-J20</f>
        <v>1707140.4000000001</v>
      </c>
      <c r="M20" s="24"/>
      <c r="N20" s="23">
        <f>5586224.46-F20-H20-J20-L20</f>
        <v>962316.62000000034</v>
      </c>
      <c r="O20" s="24"/>
      <c r="P20" s="23">
        <f>6520418.72-F20-H20-J20-L20-N20</f>
        <v>934194.25999999978</v>
      </c>
      <c r="Q20" s="24"/>
      <c r="R20" s="23">
        <v>1832992.4500000002</v>
      </c>
      <c r="S20" s="24"/>
      <c r="T20" s="23">
        <f>+3216273.73-R20</f>
        <v>1383281.2799999998</v>
      </c>
      <c r="U20" s="25"/>
      <c r="V20" s="23">
        <f>+11417509.6-F20-H20-J20-L20-N20-P20-R20-T20</f>
        <v>1680817.149999998</v>
      </c>
      <c r="W20" s="25"/>
      <c r="X20" s="23">
        <f>+13082917.49-F20-H20-J20-L20-N20-P20-R20-T20-V20</f>
        <v>1665407.8900000006</v>
      </c>
      <c r="Y20" s="26"/>
      <c r="Z20" s="23">
        <f>+14734469.2-F20-H20-J20-L20-N20-P20-R20-T20-V20-X20</f>
        <v>1651551.7099999976</v>
      </c>
      <c r="AA20" s="26"/>
      <c r="AB20" s="23">
        <f>+18076589.08-F20-H20-J20-L20-N20-P20-R20-T20-V20-X20-Z20</f>
        <v>3342119.8800000004</v>
      </c>
      <c r="AC20" s="25"/>
      <c r="AD20" s="27">
        <f t="shared" si="1"/>
        <v>18076589.079999994</v>
      </c>
      <c r="AF20" s="5"/>
      <c r="AI20" s="5"/>
    </row>
    <row r="21" spans="2:35" ht="20.100000000000001" customHeight="1" x14ac:dyDescent="0.25">
      <c r="B21" s="16"/>
      <c r="C21" s="34"/>
      <c r="D21" s="21" t="s">
        <v>31</v>
      </c>
      <c r="E21" s="22"/>
      <c r="F21" s="23">
        <v>0</v>
      </c>
      <c r="G21" s="24"/>
      <c r="H21" s="23">
        <f>67462.85-F21</f>
        <v>67462.850000000006</v>
      </c>
      <c r="I21" s="24"/>
      <c r="J21" s="23">
        <f>1121271.54-H21</f>
        <v>1053808.69</v>
      </c>
      <c r="K21" s="24"/>
      <c r="L21" s="23">
        <f>1750102.15-H21-J21</f>
        <v>628830.60999999987</v>
      </c>
      <c r="M21" s="24"/>
      <c r="N21" s="23">
        <f>6220841.08-H21-J21-L21</f>
        <v>4470738.9300000016</v>
      </c>
      <c r="O21" s="24"/>
      <c r="P21" s="23">
        <f>6721003.09-H21-J21-L21-N21</f>
        <v>500162.00999999978</v>
      </c>
      <c r="Q21" s="24"/>
      <c r="R21" s="23">
        <v>500349.56000000052</v>
      </c>
      <c r="S21" s="24"/>
      <c r="T21" s="23">
        <f>+1538651.73-R21</f>
        <v>1038302.1699999995</v>
      </c>
      <c r="U21" s="25"/>
      <c r="V21" s="23">
        <f>+9837981.06-H21-J21-L21-N21-P21-R21-T21</f>
        <v>1578326.2400000007</v>
      </c>
      <c r="W21" s="25"/>
      <c r="X21" s="23">
        <f>+11636310.52-H21-J21-L21-N21-P21-R21-T21-V21</f>
        <v>1798329.459999999</v>
      </c>
      <c r="Y21" s="26"/>
      <c r="Z21" s="23">
        <f>+11717131.7-H21-J21-L21-N21-P21-R21-T21-V21-X21</f>
        <v>80821.179999999702</v>
      </c>
      <c r="AA21" s="26"/>
      <c r="AB21" s="23">
        <f>+20393493.61-H21-J21-L21-N21-P21-R21-T21-V21-X21-Z21</f>
        <v>8676361.9099999964</v>
      </c>
      <c r="AC21" s="25"/>
      <c r="AD21" s="27">
        <f t="shared" si="1"/>
        <v>20393493.609999999</v>
      </c>
      <c r="AF21" s="5"/>
      <c r="AI21" s="5"/>
    </row>
    <row r="22" spans="2:35" ht="20.100000000000001" customHeight="1" x14ac:dyDescent="0.25">
      <c r="B22" s="16"/>
      <c r="C22" s="34"/>
      <c r="D22" s="21" t="s">
        <v>32</v>
      </c>
      <c r="E22" s="22"/>
      <c r="F22" s="23">
        <v>34097.730000000003</v>
      </c>
      <c r="G22" s="24"/>
      <c r="H22" s="23">
        <f>73224.93-F22</f>
        <v>39127.19999999999</v>
      </c>
      <c r="I22" s="24"/>
      <c r="J22" s="23">
        <f>108564.66-F22-H22</f>
        <v>35339.730000000003</v>
      </c>
      <c r="K22" s="24"/>
      <c r="L22" s="23">
        <f>144206.36-F22-H22-J22</f>
        <v>35641.69999999999</v>
      </c>
      <c r="M22" s="24"/>
      <c r="N22" s="23">
        <f>186290.1-F22-H22-J22-L22</f>
        <v>42083.740000000013</v>
      </c>
      <c r="O22" s="24"/>
      <c r="P22" s="23">
        <f>224275.95-F22-H22-J22-L22-N22</f>
        <v>37985.850000000013</v>
      </c>
      <c r="Q22" s="24"/>
      <c r="R22" s="23">
        <v>36119.979999999974</v>
      </c>
      <c r="S22" s="24"/>
      <c r="T22" s="23">
        <f>+74921.14-R22</f>
        <v>38801.160000000025</v>
      </c>
      <c r="U22" s="25"/>
      <c r="V22" s="23">
        <f>+337123.02-F22-H22-J22-L22-N22-P22-R22-T22</f>
        <v>37925.93</v>
      </c>
      <c r="W22" s="25"/>
      <c r="X22" s="23">
        <f>+376615.03-F22-H22-J22-L22-N22-P22-R22-T22-V22</f>
        <v>39492.010000000031</v>
      </c>
      <c r="Y22" s="26"/>
      <c r="Z22" s="23">
        <f>+415992.43-F22-H22-J22-L22-N22-P22-R22-T22-V22-X22</f>
        <v>39377.399999999943</v>
      </c>
      <c r="AA22" s="26"/>
      <c r="AB22" s="23">
        <f>+515992.43-F22-H22-J22-L22-N22-P22-R22-T22-V22-X22-Z22</f>
        <v>100000</v>
      </c>
      <c r="AC22" s="25"/>
      <c r="AD22" s="27">
        <f t="shared" si="1"/>
        <v>515992.43</v>
      </c>
      <c r="AF22" s="5"/>
      <c r="AI22" s="5"/>
    </row>
    <row r="23" spans="2:35" ht="20.100000000000001" customHeight="1" x14ac:dyDescent="0.25">
      <c r="B23" s="16"/>
      <c r="C23" s="34"/>
      <c r="D23" s="21" t="s">
        <v>33</v>
      </c>
      <c r="E23" s="22"/>
      <c r="F23" s="23">
        <v>0</v>
      </c>
      <c r="G23" s="24"/>
      <c r="H23" s="23">
        <v>74053.070000000007</v>
      </c>
      <c r="I23" s="24"/>
      <c r="J23" s="23">
        <f>257707.36-H23</f>
        <v>183654.28999999998</v>
      </c>
      <c r="K23" s="24"/>
      <c r="L23" s="23">
        <f>297542.03-H23-J23</f>
        <v>39834.670000000042</v>
      </c>
      <c r="M23" s="24"/>
      <c r="N23" s="23">
        <f>424431.86-H23-J23-L23</f>
        <v>126889.82999999996</v>
      </c>
      <c r="O23" s="24"/>
      <c r="P23" s="23">
        <f>463711.05-H23-J23-L23-N23</f>
        <v>39279.19</v>
      </c>
      <c r="Q23" s="24"/>
      <c r="R23" s="23">
        <v>133240.71000000002</v>
      </c>
      <c r="S23" s="24"/>
      <c r="T23" s="23">
        <f>+232964.26-R23</f>
        <v>99723.549999999988</v>
      </c>
      <c r="U23" s="25"/>
      <c r="V23" s="23">
        <f>+755847.88-H23-J23-L23-N23-P23-R23-T23</f>
        <v>59172.570000000065</v>
      </c>
      <c r="W23" s="25"/>
      <c r="X23" s="23">
        <f>+896190.02-H23-J23-L23-N23-P23-R23-T23-V23</f>
        <v>140342.13999999984</v>
      </c>
      <c r="Y23" s="26"/>
      <c r="Z23" s="23">
        <f>+905784.35-H23-J23-L23-N23-P23-R23-T23-V23-X23</f>
        <v>9594.3300000000745</v>
      </c>
      <c r="AA23" s="26"/>
      <c r="AB23" s="23">
        <f>+1201800.9-H23-J23-L23-N23-P23-R23-T23-V23-X23-Z23</f>
        <v>296016.54999999993</v>
      </c>
      <c r="AC23" s="25"/>
      <c r="AD23" s="27">
        <f t="shared" si="1"/>
        <v>1201800.8999999999</v>
      </c>
      <c r="AF23" s="5"/>
      <c r="AI23" s="5"/>
    </row>
    <row r="24" spans="2:35" ht="20.100000000000001" customHeight="1" x14ac:dyDescent="0.25">
      <c r="B24" s="16"/>
      <c r="C24" s="34"/>
      <c r="D24" s="35" t="s">
        <v>34</v>
      </c>
      <c r="E24" s="22"/>
      <c r="F24" s="23">
        <v>6152.43</v>
      </c>
      <c r="G24" s="24"/>
      <c r="H24" s="23">
        <f>14563.69-F24</f>
        <v>8411.26</v>
      </c>
      <c r="I24" s="24"/>
      <c r="J24" s="23">
        <f>134860.23-F24-H24</f>
        <v>120296.54000000002</v>
      </c>
      <c r="K24" s="24"/>
      <c r="L24" s="23">
        <f>170511.32-F24-H24-J24</f>
        <v>35651.089999999982</v>
      </c>
      <c r="M24" s="24"/>
      <c r="N24" s="23">
        <f>170648.68-F24-H24-J24-L24</f>
        <v>137.35999999998603</v>
      </c>
      <c r="O24" s="24"/>
      <c r="P24" s="23">
        <f>972307.36-F24-H24-J24-L24-N24</f>
        <v>801658.67999999993</v>
      </c>
      <c r="Q24" s="24"/>
      <c r="R24" s="23">
        <v>0</v>
      </c>
      <c r="S24" s="24"/>
      <c r="T24" s="23">
        <v>0</v>
      </c>
      <c r="U24" s="25"/>
      <c r="V24" s="23">
        <f>+972307.36-F24-H24-J24-L24-N24-P24</f>
        <v>0</v>
      </c>
      <c r="W24" s="25"/>
      <c r="X24" s="23">
        <f>+972307.36-F24-H24-J24-L24-N24-P24</f>
        <v>0</v>
      </c>
      <c r="Y24" s="26"/>
      <c r="Z24" s="23">
        <f>+972307.36-F24-H24-J24-L24-N24-P24</f>
        <v>0</v>
      </c>
      <c r="AA24" s="26"/>
      <c r="AB24" s="23">
        <f>+972307.36-F24-H24-J24-L24-N24-P24</f>
        <v>0</v>
      </c>
      <c r="AC24" s="25"/>
      <c r="AD24" s="27">
        <f t="shared" si="1"/>
        <v>972307.35999999987</v>
      </c>
      <c r="AF24" s="5"/>
      <c r="AI24" s="5"/>
    </row>
    <row r="25" spans="2:35" ht="20.100000000000001" customHeight="1" x14ac:dyDescent="0.25">
      <c r="B25" s="16"/>
      <c r="C25" s="34"/>
      <c r="D25" s="35" t="s">
        <v>35</v>
      </c>
      <c r="E25" s="22"/>
      <c r="F25" s="23">
        <v>254.04</v>
      </c>
      <c r="G25" s="24"/>
      <c r="H25" s="23">
        <f>1028.63-F25</f>
        <v>774.59000000000015</v>
      </c>
      <c r="I25" s="24"/>
      <c r="J25" s="23">
        <f>1835.97-F25-H25</f>
        <v>807.33999999999992</v>
      </c>
      <c r="K25" s="24"/>
      <c r="L25" s="23">
        <f>2667.92-F25-H25-J25</f>
        <v>831.95</v>
      </c>
      <c r="M25" s="24"/>
      <c r="N25" s="23">
        <f>3475.14-F25-H25-J25-L25</f>
        <v>807.2199999999998</v>
      </c>
      <c r="O25" s="24"/>
      <c r="P25" s="23">
        <f>5053.34-F25-H25-J25-L25-N25</f>
        <v>1578.2000000000003</v>
      </c>
      <c r="Q25" s="24"/>
      <c r="R25" s="23">
        <v>2000</v>
      </c>
      <c r="S25" s="24"/>
      <c r="T25" s="23">
        <f>+11920.73-R25</f>
        <v>9920.73</v>
      </c>
      <c r="U25" s="25"/>
      <c r="V25" s="23">
        <f>+39520.63-F25-H25-J25-L25-N25-P25-R25-T25</f>
        <v>22546.560000000009</v>
      </c>
      <c r="W25" s="25"/>
      <c r="X25" s="23">
        <f>+40325.66-F25-H25-J25-L25-N25-P25-R25-T25-V25</f>
        <v>805.02999999999884</v>
      </c>
      <c r="Y25" s="26"/>
      <c r="Z25" s="23">
        <f>+40601.27-F25-H25-J25-L25-N25-P25-R25-T25-V25-X25</f>
        <v>275.61000000000058</v>
      </c>
      <c r="AA25" s="26"/>
      <c r="AB25" s="23">
        <f>+46496.55-F25-H25-J25-L25-N25-P25-R25-T25-V25-X25-Z25</f>
        <v>5895.2799999999988</v>
      </c>
      <c r="AC25" s="25"/>
      <c r="AD25" s="27">
        <f t="shared" si="1"/>
        <v>46496.55</v>
      </c>
      <c r="AF25" s="5"/>
      <c r="AI25" s="5"/>
    </row>
    <row r="26" spans="2:35" ht="20.100000000000001" customHeight="1" x14ac:dyDescent="0.25">
      <c r="B26" s="16"/>
      <c r="C26" s="34"/>
      <c r="D26" s="35" t="s">
        <v>36</v>
      </c>
      <c r="E26" s="22"/>
      <c r="F26" s="23">
        <v>0</v>
      </c>
      <c r="G26" s="24"/>
      <c r="H26" s="23">
        <v>0</v>
      </c>
      <c r="I26" s="24"/>
      <c r="J26" s="23">
        <v>0</v>
      </c>
      <c r="K26" s="24"/>
      <c r="L26" s="23">
        <v>0</v>
      </c>
      <c r="M26" s="24"/>
      <c r="N26" s="23">
        <v>0</v>
      </c>
      <c r="O26" s="24"/>
      <c r="P26" s="23">
        <v>0</v>
      </c>
      <c r="Q26" s="24"/>
      <c r="R26" s="23">
        <v>0</v>
      </c>
      <c r="S26" s="24"/>
      <c r="T26" s="23">
        <v>0</v>
      </c>
      <c r="U26" s="25"/>
      <c r="V26" s="23">
        <v>0</v>
      </c>
      <c r="W26" s="25"/>
      <c r="X26" s="23">
        <v>0</v>
      </c>
      <c r="Y26" s="26"/>
      <c r="Z26" s="23">
        <v>0</v>
      </c>
      <c r="AA26" s="26"/>
      <c r="AB26" s="23">
        <v>0</v>
      </c>
      <c r="AC26" s="25"/>
      <c r="AD26" s="27">
        <f t="shared" si="1"/>
        <v>0</v>
      </c>
      <c r="AF26" s="5"/>
      <c r="AI26" s="5"/>
    </row>
    <row r="27" spans="2:35" s="29" customFormat="1" ht="20.100000000000001" customHeight="1" x14ac:dyDescent="0.25">
      <c r="B27" s="56" t="s">
        <v>37</v>
      </c>
      <c r="C27" s="56"/>
      <c r="D27" s="56"/>
      <c r="E27" s="30"/>
      <c r="F27" s="36">
        <f>F28</f>
        <v>0</v>
      </c>
      <c r="G27" s="37"/>
      <c r="H27" s="36">
        <f>H28</f>
        <v>0</v>
      </c>
      <c r="I27" s="37"/>
      <c r="J27" s="36">
        <f>J28</f>
        <v>0</v>
      </c>
      <c r="K27" s="37"/>
      <c r="L27" s="36">
        <f>L28</f>
        <v>0</v>
      </c>
      <c r="M27" s="37"/>
      <c r="N27" s="36">
        <f>N28</f>
        <v>7445.6</v>
      </c>
      <c r="O27" s="37"/>
      <c r="P27" s="36">
        <f>P28</f>
        <v>0</v>
      </c>
      <c r="Q27" s="37"/>
      <c r="R27" s="36">
        <f>R28</f>
        <v>0</v>
      </c>
      <c r="S27" s="37"/>
      <c r="T27" s="36">
        <f>T28</f>
        <v>0</v>
      </c>
      <c r="U27" s="37"/>
      <c r="V27" s="36">
        <f>V28</f>
        <v>0</v>
      </c>
      <c r="W27" s="37"/>
      <c r="X27" s="36">
        <f>X28</f>
        <v>3289</v>
      </c>
      <c r="Y27" s="26"/>
      <c r="Z27" s="36">
        <f>Z28</f>
        <v>0</v>
      </c>
      <c r="AA27" s="38"/>
      <c r="AB27" s="36">
        <f>AB28</f>
        <v>24978.340000000004</v>
      </c>
      <c r="AC27" s="37"/>
      <c r="AD27" s="36">
        <f>AD28</f>
        <v>35712.94</v>
      </c>
      <c r="AF27" s="33"/>
      <c r="AI27" s="33"/>
    </row>
    <row r="28" spans="2:35" s="29" customFormat="1" ht="20.100000000000001" customHeight="1" x14ac:dyDescent="0.25">
      <c r="B28" s="39"/>
      <c r="C28" s="54" t="s">
        <v>38</v>
      </c>
      <c r="D28" s="54"/>
      <c r="E28" s="30"/>
      <c r="F28" s="17">
        <f>F29+F30</f>
        <v>0</v>
      </c>
      <c r="G28" s="32"/>
      <c r="H28" s="17">
        <f>H29+H30</f>
        <v>0</v>
      </c>
      <c r="I28" s="32"/>
      <c r="J28" s="17">
        <f>J29+J30</f>
        <v>0</v>
      </c>
      <c r="K28" s="32"/>
      <c r="L28" s="17">
        <f>L29+L30</f>
        <v>0</v>
      </c>
      <c r="M28" s="32"/>
      <c r="N28" s="17">
        <f>N29+N30</f>
        <v>7445.6</v>
      </c>
      <c r="O28" s="32"/>
      <c r="P28" s="17">
        <f>P29+P30</f>
        <v>0</v>
      </c>
      <c r="Q28" s="32"/>
      <c r="R28" s="17">
        <f>R29+R30</f>
        <v>0</v>
      </c>
      <c r="S28" s="32"/>
      <c r="T28" s="17">
        <f>T29+T30</f>
        <v>0</v>
      </c>
      <c r="U28" s="32"/>
      <c r="V28" s="17">
        <f>V30</f>
        <v>0</v>
      </c>
      <c r="W28" s="32"/>
      <c r="X28" s="17">
        <f>X30</f>
        <v>3289</v>
      </c>
      <c r="Y28" s="26"/>
      <c r="Z28" s="17">
        <f>Z30</f>
        <v>0</v>
      </c>
      <c r="AA28" s="19"/>
      <c r="AB28" s="17">
        <f>AB30</f>
        <v>24978.340000000004</v>
      </c>
      <c r="AC28" s="32"/>
      <c r="AD28" s="17">
        <f>AD29+AD30</f>
        <v>35712.94</v>
      </c>
      <c r="AF28" s="33"/>
      <c r="AI28" s="33"/>
    </row>
    <row r="29" spans="2:35" s="29" customFormat="1" ht="20.100000000000001" customHeight="1" x14ac:dyDescent="0.25">
      <c r="B29" s="39"/>
      <c r="C29" s="16"/>
      <c r="D29" s="21" t="s">
        <v>39</v>
      </c>
      <c r="E29" s="30"/>
      <c r="F29" s="23">
        <v>0</v>
      </c>
      <c r="G29" s="24"/>
      <c r="H29" s="23">
        <v>0</v>
      </c>
      <c r="I29" s="24"/>
      <c r="J29" s="23">
        <v>0</v>
      </c>
      <c r="K29" s="24"/>
      <c r="L29" s="23">
        <v>0</v>
      </c>
      <c r="M29" s="24"/>
      <c r="N29" s="23">
        <v>0</v>
      </c>
      <c r="O29" s="24"/>
      <c r="P29" s="23">
        <v>0</v>
      </c>
      <c r="Q29" s="24"/>
      <c r="R29" s="23">
        <v>0</v>
      </c>
      <c r="S29" s="24"/>
      <c r="T29" s="23">
        <v>0</v>
      </c>
      <c r="U29" s="25"/>
      <c r="V29" s="23">
        <v>0</v>
      </c>
      <c r="W29" s="25"/>
      <c r="X29" s="23">
        <v>0</v>
      </c>
      <c r="Y29" s="26"/>
      <c r="Z29" s="23">
        <v>0</v>
      </c>
      <c r="AA29" s="26"/>
      <c r="AB29" s="23">
        <v>0</v>
      </c>
      <c r="AC29" s="25"/>
      <c r="AD29" s="27">
        <f>SUM(F29:AB29)</f>
        <v>0</v>
      </c>
      <c r="AF29" s="33"/>
      <c r="AI29" s="33"/>
    </row>
    <row r="30" spans="2:35" ht="20.100000000000001" customHeight="1" x14ac:dyDescent="0.25">
      <c r="B30" s="40"/>
      <c r="C30" s="28"/>
      <c r="D30" s="21" t="s">
        <v>40</v>
      </c>
      <c r="E30" s="22"/>
      <c r="F30" s="23">
        <v>0</v>
      </c>
      <c r="G30" s="24"/>
      <c r="H30" s="23">
        <v>0</v>
      </c>
      <c r="I30" s="24"/>
      <c r="J30" s="23">
        <v>0</v>
      </c>
      <c r="K30" s="24"/>
      <c r="L30" s="23">
        <v>0</v>
      </c>
      <c r="M30" s="24"/>
      <c r="N30" s="23">
        <v>7445.6</v>
      </c>
      <c r="O30" s="24"/>
      <c r="P30" s="23">
        <f>7445.6-N30</f>
        <v>0</v>
      </c>
      <c r="Q30" s="24"/>
      <c r="R30" s="23">
        <f>+7445.6-N30</f>
        <v>0</v>
      </c>
      <c r="S30" s="24"/>
      <c r="T30" s="23">
        <v>0</v>
      </c>
      <c r="U30" s="25"/>
      <c r="V30" s="23">
        <v>0</v>
      </c>
      <c r="W30" s="25"/>
      <c r="X30" s="23">
        <f>+10734.6-N30</f>
        <v>3289</v>
      </c>
      <c r="Y30" s="26"/>
      <c r="Z30" s="23">
        <f>+10734.6-N30-X30</f>
        <v>0</v>
      </c>
      <c r="AA30" s="26"/>
      <c r="AB30" s="23">
        <f>+35712.94-N30-X30</f>
        <v>24978.340000000004</v>
      </c>
      <c r="AC30" s="25"/>
      <c r="AD30" s="27">
        <f>F30+H30+J30+L30+N30+P30+R30+T30+V30+X30+Z30+AB30</f>
        <v>35712.94</v>
      </c>
      <c r="AF30" s="5"/>
      <c r="AI30" s="5"/>
    </row>
    <row r="31" spans="2:35" s="41" customFormat="1" ht="20.100000000000001" customHeight="1" x14ac:dyDescent="0.25">
      <c r="B31" s="57" t="s">
        <v>41</v>
      </c>
      <c r="C31" s="57"/>
      <c r="D31" s="57"/>
      <c r="E31" s="42"/>
      <c r="F31" s="43">
        <f>F27+F6</f>
        <v>5651858.8300000001</v>
      </c>
      <c r="G31" s="44"/>
      <c r="H31" s="43">
        <f>H27+H6</f>
        <v>7548356.8900000006</v>
      </c>
      <c r="I31" s="44"/>
      <c r="J31" s="43">
        <f>J27+J6</f>
        <v>8683768.9800000004</v>
      </c>
      <c r="K31" s="44"/>
      <c r="L31" s="43">
        <f>L27+L6</f>
        <v>8351261.4699999988</v>
      </c>
      <c r="M31" s="44"/>
      <c r="N31" s="43">
        <f>N27+N6</f>
        <v>14454963.550000003</v>
      </c>
      <c r="O31" s="44"/>
      <c r="P31" s="43">
        <f>P27+P6</f>
        <v>8954019.1299999952</v>
      </c>
      <c r="Q31" s="44"/>
      <c r="R31" s="43">
        <f>R27+R6</f>
        <v>11325963.160000002</v>
      </c>
      <c r="S31" s="44"/>
      <c r="T31" s="43">
        <f>T27+T6</f>
        <v>9802907.5299999956</v>
      </c>
      <c r="U31" s="44"/>
      <c r="V31" s="43">
        <f>V27+V6</f>
        <v>9704733.7700000051</v>
      </c>
      <c r="W31" s="44"/>
      <c r="X31" s="43">
        <f>X27+X6</f>
        <v>10077300.149999999</v>
      </c>
      <c r="Y31" s="26"/>
      <c r="Z31" s="43">
        <f>Z27+Z6</f>
        <v>10662672.109999992</v>
      </c>
      <c r="AA31" s="45"/>
      <c r="AB31" s="43">
        <f>AB27+AB6</f>
        <v>27669957.869999994</v>
      </c>
      <c r="AC31" s="44"/>
      <c r="AD31" s="43">
        <f>AD6+AD27</f>
        <v>132887763.43999997</v>
      </c>
      <c r="AF31" s="33"/>
      <c r="AI31" s="33"/>
    </row>
    <row r="32" spans="2:35" x14ac:dyDescent="0.25">
      <c r="E32" s="5"/>
      <c r="G32" s="5"/>
      <c r="I32" s="5"/>
      <c r="K32" s="5"/>
      <c r="M32" s="5"/>
      <c r="O32" s="5"/>
      <c r="Q32" s="5"/>
      <c r="S32" s="5"/>
      <c r="U32" s="5"/>
      <c r="W32" s="5"/>
      <c r="Y32" s="5"/>
      <c r="AA32" s="5"/>
      <c r="AC32" s="5"/>
      <c r="AF32" s="5"/>
      <c r="AI32" s="5"/>
    </row>
    <row r="33" spans="2:35" x14ac:dyDescent="0.25">
      <c r="B33" t="s">
        <v>42</v>
      </c>
      <c r="E33" s="5"/>
      <c r="G33" s="5"/>
      <c r="I33" s="5"/>
      <c r="K33" s="5"/>
      <c r="M33" s="5"/>
      <c r="O33" s="5"/>
      <c r="Q33" s="5"/>
      <c r="S33" s="5"/>
      <c r="U33" s="5"/>
      <c r="W33" s="5"/>
      <c r="Y33" s="5"/>
      <c r="AA33" s="5"/>
      <c r="AC33" s="5"/>
      <c r="AF33" s="5"/>
      <c r="AI33" s="5"/>
    </row>
    <row r="34" spans="2:35" x14ac:dyDescent="0.25">
      <c r="B34" t="s">
        <v>43</v>
      </c>
      <c r="E34" s="5"/>
      <c r="G34" s="5"/>
      <c r="I34" s="5"/>
      <c r="K34" s="5"/>
      <c r="M34" s="5"/>
      <c r="O34" s="5"/>
      <c r="Q34" s="5"/>
      <c r="S34" s="5"/>
      <c r="U34" s="5"/>
      <c r="W34" s="5"/>
      <c r="Y34" s="5"/>
      <c r="AA34" s="5"/>
      <c r="AC34" s="5"/>
      <c r="AF34" s="5"/>
      <c r="AI34" s="5"/>
    </row>
  </sheetData>
  <sheetProtection selectLockedCells="1" selectUnlockedCells="1"/>
  <mergeCells count="23">
    <mergeCell ref="B31:D31"/>
    <mergeCell ref="B5:D5"/>
    <mergeCell ref="B6:D6"/>
    <mergeCell ref="C7:D7"/>
    <mergeCell ref="C12:D12"/>
    <mergeCell ref="B27:D27"/>
    <mergeCell ref="C28:D28"/>
    <mergeCell ref="T3:T5"/>
    <mergeCell ref="V3:V5"/>
    <mergeCell ref="X3:X5"/>
    <mergeCell ref="Z3:Z5"/>
    <mergeCell ref="AB3:AB5"/>
    <mergeCell ref="AD3:AD5"/>
    <mergeCell ref="B1:AD1"/>
    <mergeCell ref="B2:AD2"/>
    <mergeCell ref="B3:D4"/>
    <mergeCell ref="F3:F5"/>
    <mergeCell ref="H3:H5"/>
    <mergeCell ref="J3:J5"/>
    <mergeCell ref="L3:L5"/>
    <mergeCell ref="N3:N5"/>
    <mergeCell ref="P3:P5"/>
    <mergeCell ref="R3:R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Bitmap Image" shapeId="1025" r:id="rId3">
          <objectPr defaultSize="0" r:id="rId4">
            <anchor moveWithCells="1" sizeWithCells="1">
              <from>
                <xdr:col>1</xdr:col>
                <xdr:colOff>121920</xdr:colOff>
                <xdr:row>0</xdr:row>
                <xdr:rowOff>106680</xdr:rowOff>
              </from>
              <to>
                <xdr:col>3</xdr:col>
                <xdr:colOff>358140</xdr:colOff>
                <xdr:row>0</xdr:row>
                <xdr:rowOff>807720</xdr:rowOff>
              </to>
            </anchor>
          </objectPr>
        </oleObject>
      </mc:Choice>
      <mc:Fallback>
        <oleObject progId="Bitmap Image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2024-01-26T19:21:07Z</dcterms:created>
  <dcterms:modified xsi:type="dcterms:W3CDTF">2024-01-26T19:21:07Z</dcterms:modified>
</cp:coreProperties>
</file>