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/>
  </bookViews>
  <sheets>
    <sheet name="2023" sheetId="5" r:id="rId1"/>
  </sheets>
  <definedNames>
    <definedName name="_xlnm.Print_Area" localSheetId="0">'2023'!$B$1:$AD$34</definedName>
  </definedNames>
  <calcPr calcId="152511"/>
</workbook>
</file>

<file path=xl/calcChain.xml><?xml version="1.0" encoding="utf-8"?>
<calcChain xmlns="http://schemas.openxmlformats.org/spreadsheetml/2006/main">
  <c r="N25" i="5" l="1"/>
  <c r="N24" i="5"/>
  <c r="AD24" i="5"/>
  <c r="N23" i="5"/>
  <c r="AD23" i="5"/>
  <c r="N22" i="5"/>
  <c r="N21" i="5"/>
  <c r="N20" i="5"/>
  <c r="N19" i="5"/>
  <c r="N18" i="5"/>
  <c r="AD18" i="5"/>
  <c r="N17" i="5"/>
  <c r="AD17" i="5"/>
  <c r="N16" i="5"/>
  <c r="AD16" i="5"/>
  <c r="N15" i="5"/>
  <c r="N14" i="5"/>
  <c r="AD14" i="5"/>
  <c r="N11" i="5"/>
  <c r="AD11" i="5"/>
  <c r="N10" i="5"/>
  <c r="N9" i="5"/>
  <c r="N8" i="5"/>
  <c r="AD8" i="5"/>
  <c r="L18" i="5"/>
  <c r="L25" i="5"/>
  <c r="AD25" i="5"/>
  <c r="L24" i="5"/>
  <c r="L23" i="5"/>
  <c r="L22" i="5"/>
  <c r="L21" i="5"/>
  <c r="AD21" i="5"/>
  <c r="L20" i="5"/>
  <c r="AD20" i="5"/>
  <c r="L19" i="5"/>
  <c r="AD19" i="5"/>
  <c r="L17" i="5"/>
  <c r="L16" i="5"/>
  <c r="L15" i="5"/>
  <c r="AD15" i="5"/>
  <c r="L14" i="5"/>
  <c r="L11" i="5"/>
  <c r="L10" i="5"/>
  <c r="AD10" i="5"/>
  <c r="L9" i="5"/>
  <c r="L8" i="5"/>
  <c r="J25" i="5"/>
  <c r="J24" i="5"/>
  <c r="J23" i="5"/>
  <c r="J22" i="5"/>
  <c r="AD22" i="5"/>
  <c r="J21" i="5"/>
  <c r="J20" i="5"/>
  <c r="J19" i="5"/>
  <c r="J18" i="5"/>
  <c r="J17" i="5"/>
  <c r="J16" i="5"/>
  <c r="J15" i="5"/>
  <c r="J14" i="5"/>
  <c r="J11" i="5"/>
  <c r="J10" i="5"/>
  <c r="J9" i="5"/>
  <c r="J8" i="5"/>
  <c r="H25" i="5"/>
  <c r="H24" i="5"/>
  <c r="H22" i="5"/>
  <c r="H21" i="5"/>
  <c r="H20" i="5"/>
  <c r="H18" i="5"/>
  <c r="H17" i="5"/>
  <c r="H16" i="5"/>
  <c r="H15" i="5"/>
  <c r="H14" i="5"/>
  <c r="H11" i="5"/>
  <c r="H7" i="5"/>
  <c r="H10" i="5"/>
  <c r="H9" i="5"/>
  <c r="H8" i="5"/>
  <c r="AD30" i="5"/>
  <c r="AD28" i="5"/>
  <c r="AD27" i="5"/>
  <c r="AD13" i="5"/>
  <c r="V28" i="5"/>
  <c r="V27" i="5"/>
  <c r="V7" i="5"/>
  <c r="T28" i="5"/>
  <c r="T27" i="5"/>
  <c r="Z28" i="5"/>
  <c r="Z27" i="5"/>
  <c r="AD29" i="5"/>
  <c r="AB28" i="5"/>
  <c r="AB27" i="5"/>
  <c r="F7" i="5"/>
  <c r="F12" i="5"/>
  <c r="F6" i="5"/>
  <c r="F31" i="5"/>
  <c r="H28" i="5"/>
  <c r="H27" i="5"/>
  <c r="F28" i="5"/>
  <c r="F27" i="5"/>
  <c r="AD26" i="5"/>
  <c r="J28" i="5"/>
  <c r="J27" i="5"/>
  <c r="L28" i="5"/>
  <c r="L27" i="5"/>
  <c r="P28" i="5"/>
  <c r="P27" i="5"/>
  <c r="N28" i="5"/>
  <c r="N27" i="5"/>
  <c r="P7" i="5"/>
  <c r="R28" i="5"/>
  <c r="R27" i="5"/>
  <c r="R7" i="5"/>
  <c r="T7" i="5"/>
  <c r="T6" i="5"/>
  <c r="V12" i="5"/>
  <c r="T12" i="5"/>
  <c r="R12" i="5"/>
  <c r="P12" i="5"/>
  <c r="X28" i="5"/>
  <c r="X27" i="5"/>
  <c r="X12" i="5"/>
  <c r="X7" i="5"/>
  <c r="X6" i="5"/>
  <c r="Z12" i="5"/>
  <c r="Z7" i="5"/>
  <c r="Z6" i="5"/>
  <c r="AB12" i="5"/>
  <c r="AB7" i="5"/>
  <c r="AB6" i="5"/>
  <c r="AB31" i="5"/>
  <c r="Z31" i="5"/>
  <c r="T31" i="5"/>
  <c r="X31" i="5"/>
  <c r="P6" i="5"/>
  <c r="P31" i="5"/>
  <c r="R6" i="5"/>
  <c r="R31" i="5"/>
  <c r="V6" i="5"/>
  <c r="V31" i="5"/>
  <c r="H12" i="5"/>
  <c r="H6" i="5"/>
  <c r="H31" i="5"/>
  <c r="J12" i="5"/>
  <c r="J7" i="5"/>
  <c r="J6" i="5"/>
  <c r="J31" i="5"/>
  <c r="L12" i="5"/>
  <c r="L7" i="5"/>
  <c r="L6" i="5"/>
  <c r="L31" i="5"/>
  <c r="N12" i="5"/>
  <c r="N6" i="5"/>
  <c r="N31" i="5"/>
  <c r="N7" i="5"/>
  <c r="AD9" i="5"/>
  <c r="AD12" i="5"/>
  <c r="AD7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<sst xmlns="http://schemas.openxmlformats.org/spreadsheetml/2006/main" count="45" uniqueCount="45">
  <si>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</si>
  <si>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</si>
  <si>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</si>
  <si>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</si>
  <si>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</si>
  <si>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</si>
  <si>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</si>
  <si>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</si>
  <si>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</si>
  <si>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</si>
  <si>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</si>
  <si>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</si>
  <si>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</si>
  <si>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</si>
  <si>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</si>
  <si>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</si>
  <si>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</si>
  <si>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</si>
  <si>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</si>
  <si>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</si>
  <si>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</si>
  <si>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</si>
  <si>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</si>
  <si>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</si>
  <si>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</si>
  <si>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</si>
  <si>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</si>
  <si>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</si>
  <si>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</si>
  <si>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</si>
  <si>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</si>
  <si>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</si>
  <si>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</si>
  <si>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</si>
  <si>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</si>
  <si>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</si>
  <si>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</si>
  <si>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</si>
  <si>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</si>
  <si>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</si>
  <si>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</si>
  <si>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</si>
  <si>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</si>
  <si>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2023</t>
  </si>
  <si>
    <t>Data Atualizacao :  01/01/203 a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</si>
</sst>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6" fillId="3" borderId="7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4" fillId="7" borderId="5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top" wrapText="1"/>
    </xf>
    <xf numFmtId="0" fontId="6" fillId="5" borderId="7" xfId="1" applyFont="1" applyFill="1" applyBorder="1" applyAlignment="1">
      <alignment horizontal="left" vertical="top"/>
    </xf>
    <xf numFmtId="0" fontId="15" fillId="6" borderId="7" xfId="1" applyFont="1" applyFill="1" applyBorder="1" applyAlignment="1">
      <alignment horizontal="left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18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9800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N3" sqref="N3:N5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710937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2:35" ht="19.5" customHeight="1" x14ac:dyDescent="0.2">
      <c r="B2" s="63" t="s">
        <v>42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2:35" ht="15" customHeight="1" x14ac:dyDescent="0.2">
      <c r="B3" s="51" t="s">
        <v>44</v>
      </c>
      <c r="C3" s="52"/>
      <c r="D3" s="53"/>
      <c r="E3" s="1"/>
      <c r="F3" s="57" t="s">
        <v>0</v>
      </c>
      <c r="G3" s="42"/>
      <c r="H3" s="57" t="s">
        <v>1</v>
      </c>
      <c r="I3" s="42"/>
      <c r="J3" s="57" t="s">
        <v>2</v>
      </c>
      <c r="K3" s="42"/>
      <c r="L3" s="57" t="s">
        <v>3</v>
      </c>
      <c r="M3" s="42"/>
      <c r="N3" s="57" t="s">
        <v>4</v>
      </c>
      <c r="O3" s="42"/>
      <c r="P3" s="57" t="s">
        <v>5</v>
      </c>
      <c r="Q3" s="42"/>
      <c r="R3" s="57" t="s">
        <v>6</v>
      </c>
      <c r="S3" s="42"/>
      <c r="T3" s="64" t="s">
        <v>7</v>
      </c>
      <c r="U3" s="43"/>
      <c r="V3" s="64" t="s">
        <v>8</v>
      </c>
      <c r="W3" s="44"/>
      <c r="X3" s="64" t="s">
        <v>9</v>
      </c>
      <c r="Y3" s="43"/>
      <c r="Z3" s="49" t="s">
        <v>10</v>
      </c>
      <c r="AA3" s="43"/>
      <c r="AB3" s="49" t="s">
        <v>11</v>
      </c>
      <c r="AC3" s="43"/>
      <c r="AD3" s="50" t="s">
        <v>12</v>
      </c>
      <c r="AF3" s="2"/>
      <c r="AI3" s="2"/>
    </row>
    <row r="4" spans="2:35" x14ac:dyDescent="0.2">
      <c r="B4" s="54"/>
      <c r="C4" s="55"/>
      <c r="D4" s="56"/>
      <c r="E4" s="1"/>
      <c r="F4" s="58"/>
      <c r="G4" s="9"/>
      <c r="H4" s="58"/>
      <c r="I4" s="9"/>
      <c r="J4" s="58"/>
      <c r="K4" s="9"/>
      <c r="L4" s="58"/>
      <c r="M4" s="10"/>
      <c r="N4" s="58"/>
      <c r="O4" s="9"/>
      <c r="P4" s="58"/>
      <c r="Q4" s="9"/>
      <c r="R4" s="58"/>
      <c r="S4" s="9"/>
      <c r="T4" s="64"/>
      <c r="U4" s="3"/>
      <c r="V4" s="64"/>
      <c r="W4" s="11"/>
      <c r="X4" s="64"/>
      <c r="Y4" s="8"/>
      <c r="Z4" s="49"/>
      <c r="AA4" s="3"/>
      <c r="AB4" s="49"/>
      <c r="AC4" s="3"/>
      <c r="AD4" s="50"/>
      <c r="AF4" s="2"/>
      <c r="AI4" s="2"/>
    </row>
    <row r="5" spans="2:35" ht="20.100000000000001" customHeight="1" x14ac:dyDescent="0.2">
      <c r="B5" s="68" t="s">
        <v>13</v>
      </c>
      <c r="C5" s="68"/>
      <c r="D5" s="68"/>
      <c r="E5" s="1"/>
      <c r="F5" s="59"/>
      <c r="G5" s="10"/>
      <c r="H5" s="59"/>
      <c r="I5" s="10"/>
      <c r="J5" s="59"/>
      <c r="K5" s="10"/>
      <c r="L5" s="59"/>
      <c r="M5" s="10"/>
      <c r="N5" s="59"/>
      <c r="O5" s="10"/>
      <c r="P5" s="59"/>
      <c r="Q5" s="10"/>
      <c r="R5" s="59"/>
      <c r="S5" s="10"/>
      <c r="T5" s="64"/>
      <c r="U5" s="8"/>
      <c r="V5" s="64"/>
      <c r="W5" s="12"/>
      <c r="X5" s="64"/>
      <c r="Y5" s="8"/>
      <c r="Z5" s="49"/>
      <c r="AA5" s="8"/>
      <c r="AB5" s="49"/>
      <c r="AC5" s="8"/>
      <c r="AD5" s="50"/>
      <c r="AF5" s="2"/>
      <c r="AI5" s="2"/>
    </row>
    <row r="6" spans="2:35" ht="20.100000000000001" customHeight="1" x14ac:dyDescent="0.25">
      <c r="B6" s="61" t="s">
        <v>14</v>
      </c>
      <c r="C6" s="61"/>
      <c r="D6" s="61"/>
      <c r="E6" s="1"/>
      <c r="F6" s="29">
        <f>F7+F12</f>
        <v>5651858.8300000001</v>
      </c>
      <c r="G6" s="13"/>
      <c r="H6" s="29">
        <f>H7+H12</f>
        <v>7548356.8900000006</v>
      </c>
      <c r="I6" s="13"/>
      <c r="J6" s="29">
        <f>J7+J12</f>
        <v>8683768.9800000004</v>
      </c>
      <c r="K6" s="13"/>
      <c r="L6" s="29">
        <f>L7+L12</f>
        <v>8351261.4699999988</v>
      </c>
      <c r="M6" s="13"/>
      <c r="N6" s="29">
        <f>N7+N12</f>
        <v>14447517.950000003</v>
      </c>
      <c r="O6" s="13"/>
      <c r="P6" s="29">
        <f>P7+P12</f>
        <v>0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44682764.120000005</v>
      </c>
      <c r="AF6" s="2"/>
      <c r="AI6" s="2"/>
    </row>
    <row r="7" spans="2:35" ht="20.100000000000001" customHeight="1" x14ac:dyDescent="0.2">
      <c r="B7" s="28"/>
      <c r="C7" s="62" t="s">
        <v>15</v>
      </c>
      <c r="D7" s="62"/>
      <c r="E7" s="1"/>
      <c r="F7" s="27">
        <f>F8+F9+F10+F11</f>
        <v>5291548.3900000006</v>
      </c>
      <c r="G7" s="14"/>
      <c r="H7" s="27">
        <f>H8+H9+H10+H11</f>
        <v>5300141.4000000004</v>
      </c>
      <c r="I7" s="14"/>
      <c r="J7" s="27">
        <f>J8+J9+J10+J11</f>
        <v>5150009.3100000005</v>
      </c>
      <c r="K7" s="14"/>
      <c r="L7" s="27">
        <f>L8+L9+L10+L11</f>
        <v>5215586.3599999985</v>
      </c>
      <c r="M7" s="14"/>
      <c r="N7" s="27">
        <f>N8+N9+N10+N11</f>
        <v>5988572.2900000019</v>
      </c>
      <c r="O7" s="14"/>
      <c r="P7" s="27">
        <f>P8+P9+P10+P11</f>
        <v>0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26945857.75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18738.080000000002</v>
      </c>
      <c r="G8" s="19"/>
      <c r="H8" s="18">
        <f>35710.91-F8</f>
        <v>16972.830000000002</v>
      </c>
      <c r="I8" s="19"/>
      <c r="J8" s="18">
        <f>54559.46-F8-H8</f>
        <v>18848.549999999996</v>
      </c>
      <c r="K8" s="19"/>
      <c r="L8" s="20">
        <f>72908.55-F8-H8-J8</f>
        <v>18349.090000000004</v>
      </c>
      <c r="M8" s="19"/>
      <c r="N8" s="20">
        <f>99678.15-F8-H8-J8-L8</f>
        <v>26769.599999999991</v>
      </c>
      <c r="O8" s="19"/>
      <c r="P8" s="20"/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99678.15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3987559.11</v>
      </c>
      <c r="G9" s="19"/>
      <c r="H9" s="18">
        <f>8072647.37-F9</f>
        <v>4085088.2600000002</v>
      </c>
      <c r="I9" s="19"/>
      <c r="J9" s="18">
        <f>11964560.21-F9-H9</f>
        <v>3891912.8400000012</v>
      </c>
      <c r="K9" s="19"/>
      <c r="L9" s="20">
        <f>15958482.77-F9-H9-J9</f>
        <v>3993922.5599999991</v>
      </c>
      <c r="M9" s="19"/>
      <c r="N9" s="20">
        <f>20517630.92-F9-H9-J9-L9</f>
        <v>4559148.1500000022</v>
      </c>
      <c r="O9" s="19"/>
      <c r="P9" s="20"/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20517630.920000002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1284774.01</v>
      </c>
      <c r="G10" s="19"/>
      <c r="H10" s="18">
        <f>2482445.99-F10</f>
        <v>1197671.9800000002</v>
      </c>
      <c r="I10" s="19"/>
      <c r="J10" s="18">
        <f>3707840.77-F10-H10</f>
        <v>1225394.7799999996</v>
      </c>
      <c r="K10" s="19"/>
      <c r="L10" s="20">
        <f>4910728.89-F10-H10-J10</f>
        <v>1202888.1199999999</v>
      </c>
      <c r="M10" s="19"/>
      <c r="N10" s="20">
        <f>6310184.97-F10-H10-J10-L10</f>
        <v>1399456.0800000003</v>
      </c>
      <c r="O10" s="19"/>
      <c r="P10" s="20"/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6310184.9699999997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477.19</v>
      </c>
      <c r="G11" s="19"/>
      <c r="H11" s="18">
        <f>885.52-F11</f>
        <v>408.33</v>
      </c>
      <c r="I11" s="19"/>
      <c r="J11" s="18">
        <f>14738.66-F11-H11</f>
        <v>13853.14</v>
      </c>
      <c r="K11" s="19"/>
      <c r="L11" s="20">
        <f>15165.25-F11-H11-J11</f>
        <v>426.59000000000015</v>
      </c>
      <c r="M11" s="19"/>
      <c r="N11" s="20">
        <f>18363.71-F11-H11-J11-L11</f>
        <v>3198.4599999999991</v>
      </c>
      <c r="O11" s="19"/>
      <c r="P11" s="20"/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18363.71</v>
      </c>
      <c r="AF11" s="2"/>
      <c r="AI11" s="2"/>
    </row>
    <row r="12" spans="2:35" s="4" customFormat="1" ht="20.100000000000001" customHeight="1" x14ac:dyDescent="0.2">
      <c r="B12" s="28"/>
      <c r="C12" s="69" t="s">
        <v>18</v>
      </c>
      <c r="D12" s="69"/>
      <c r="E12" s="22"/>
      <c r="F12" s="32">
        <f>SUM(F13:F26)</f>
        <v>360310.43999999994</v>
      </c>
      <c r="G12" s="23"/>
      <c r="H12" s="32">
        <f>SUM(H13:H26)</f>
        <v>2248215.4899999998</v>
      </c>
      <c r="I12" s="23"/>
      <c r="J12" s="32">
        <f>SUM(J13:J26)</f>
        <v>3533759.67</v>
      </c>
      <c r="K12" s="23"/>
      <c r="L12" s="32">
        <f>SUM(L13:L26)</f>
        <v>3135675.11</v>
      </c>
      <c r="M12" s="23"/>
      <c r="N12" s="32">
        <f>SUM(N13:N26)</f>
        <v>8458945.660000002</v>
      </c>
      <c r="O12" s="23"/>
      <c r="P12" s="32">
        <f>SUM(P13:P26)</f>
        <v>0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17736906.370000005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>
        <v>0</v>
      </c>
      <c r="K13" s="19"/>
      <c r="L13" s="18">
        <v>0</v>
      </c>
      <c r="M13" s="19"/>
      <c r="N13" s="18">
        <v>1980084.96</v>
      </c>
      <c r="O13" s="19"/>
      <c r="P13" s="18"/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1980084.96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21147.7</v>
      </c>
      <c r="G14" s="19"/>
      <c r="H14" s="18">
        <f>44479.68-F14</f>
        <v>23331.98</v>
      </c>
      <c r="I14" s="19"/>
      <c r="J14" s="18">
        <f>67905.3-F14-H14</f>
        <v>23425.620000000006</v>
      </c>
      <c r="K14" s="19"/>
      <c r="L14" s="18">
        <f>88733.34-F14-H14-J14</f>
        <v>20828.039999999997</v>
      </c>
      <c r="M14" s="19"/>
      <c r="N14" s="20">
        <f>111528.05-F14-H14-J14-L14</f>
        <v>22794.710000000003</v>
      </c>
      <c r="O14" s="19"/>
      <c r="P14" s="20"/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111528.05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2055.56</v>
      </c>
      <c r="G15" s="19"/>
      <c r="H15" s="18">
        <f>64738.66-F15</f>
        <v>62683.100000000006</v>
      </c>
      <c r="I15" s="19"/>
      <c r="J15" s="18">
        <f>139325.54-F15-H15</f>
        <v>74586.880000000005</v>
      </c>
      <c r="K15" s="19"/>
      <c r="L15" s="20">
        <f>228055.06-F15-H15-J15</f>
        <v>88729.51999999999</v>
      </c>
      <c r="M15" s="19"/>
      <c r="N15" s="20">
        <f>327093.42-F15-H15-J15-L15</f>
        <v>99038.360000000015</v>
      </c>
      <c r="O15" s="19"/>
      <c r="P15" s="20"/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327093.42000000004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f>13998-F16</f>
        <v>13998</v>
      </c>
      <c r="I16" s="19"/>
      <c r="J16" s="18">
        <f>53762.46-H16</f>
        <v>39764.46</v>
      </c>
      <c r="K16" s="19"/>
      <c r="L16" s="20">
        <f>63303.81-H16-J16</f>
        <v>9541.3499999999985</v>
      </c>
      <c r="M16" s="19"/>
      <c r="N16" s="20">
        <f>75197.69-H16-J16-L16</f>
        <v>11893.880000000005</v>
      </c>
      <c r="O16" s="19"/>
      <c r="P16" s="20"/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75197.69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7129.89</v>
      </c>
      <c r="G17" s="19"/>
      <c r="H17" s="18">
        <f>259264.79-F17</f>
        <v>252134.9</v>
      </c>
      <c r="I17" s="19"/>
      <c r="J17" s="18">
        <f>518530.04-F17-H17</f>
        <v>259265.24999999997</v>
      </c>
      <c r="K17" s="19"/>
      <c r="L17" s="20">
        <f>687398.21-F17-H17-J17</f>
        <v>168868.16999999995</v>
      </c>
      <c r="M17" s="19"/>
      <c r="N17" s="20">
        <f>1038333.99-F17-H17-J17-L17</f>
        <v>350935.78</v>
      </c>
      <c r="O17" s="19"/>
      <c r="P17" s="20"/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1038333.99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3222.12</v>
      </c>
      <c r="G18" s="19"/>
      <c r="H18" s="18">
        <f>32962.52-F18</f>
        <v>29740.399999999998</v>
      </c>
      <c r="I18" s="19"/>
      <c r="J18" s="18">
        <f>71825.1-F18-H18</f>
        <v>38862.580000000016</v>
      </c>
      <c r="K18" s="19"/>
      <c r="L18" s="20">
        <f>96637.73-F18-H18-J18</f>
        <v>24812.62999999999</v>
      </c>
      <c r="M18" s="19"/>
      <c r="N18" s="18">
        <f>114530.93-F18-H18-J18-L18</f>
        <v>17893.199999999997</v>
      </c>
      <c r="O18" s="19"/>
      <c r="P18" s="20"/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114530.93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374964.98</v>
      </c>
      <c r="I19" s="19"/>
      <c r="J19" s="18">
        <f>749929.96-H19</f>
        <v>374964.98</v>
      </c>
      <c r="K19" s="19"/>
      <c r="L19" s="18">
        <f>1124894.94-H19-J19</f>
        <v>374964.98</v>
      </c>
      <c r="M19" s="19"/>
      <c r="N19" s="18">
        <f>1498226.01-H19-J19-L19</f>
        <v>373331.07000000007</v>
      </c>
      <c r="O19" s="19"/>
      <c r="P19" s="18"/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1498226.01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286250.96999999997</v>
      </c>
      <c r="G20" s="19"/>
      <c r="H20" s="18">
        <f>1587784.13-F20</f>
        <v>1301533.1599999999</v>
      </c>
      <c r="I20" s="19"/>
      <c r="J20" s="18">
        <f>2916767.44-F20-H20</f>
        <v>1328983.3099999998</v>
      </c>
      <c r="K20" s="19"/>
      <c r="L20" s="20">
        <f>4623907.84-F20-H20-J20</f>
        <v>1707140.4000000001</v>
      </c>
      <c r="M20" s="19"/>
      <c r="N20" s="20">
        <f>5586224.46-F20-H20-J20-L20</f>
        <v>962316.62000000034</v>
      </c>
      <c r="O20" s="19"/>
      <c r="P20" s="20"/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5586224.46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f>67462.85-F21</f>
        <v>67462.850000000006</v>
      </c>
      <c r="I21" s="19"/>
      <c r="J21" s="18">
        <f>1121271.54-H21</f>
        <v>1053808.69</v>
      </c>
      <c r="K21" s="19"/>
      <c r="L21" s="20">
        <f>1750102.15-H21-J21</f>
        <v>628830.60999999987</v>
      </c>
      <c r="M21" s="19"/>
      <c r="N21" s="20">
        <f>6220841.08-H21-J21-L21</f>
        <v>4470738.9300000016</v>
      </c>
      <c r="O21" s="19"/>
      <c r="P21" s="20"/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6220841.0800000019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34097.730000000003</v>
      </c>
      <c r="G22" s="19"/>
      <c r="H22" s="18">
        <f>73224.93-F22</f>
        <v>39127.19999999999</v>
      </c>
      <c r="I22" s="19"/>
      <c r="J22" s="18">
        <f>108564.66-F22-H22</f>
        <v>35339.730000000003</v>
      </c>
      <c r="K22" s="19"/>
      <c r="L22" s="20">
        <f>144206.36-F22-H22-J22</f>
        <v>35641.69999999999</v>
      </c>
      <c r="M22" s="19"/>
      <c r="N22" s="20">
        <f>186290.1-F22-H22-J22-L22</f>
        <v>42083.740000000013</v>
      </c>
      <c r="O22" s="19"/>
      <c r="P22" s="20"/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186290.1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>
        <v>74053.070000000007</v>
      </c>
      <c r="I23" s="19"/>
      <c r="J23" s="18">
        <f>257707.36-H23</f>
        <v>183654.28999999998</v>
      </c>
      <c r="K23" s="19"/>
      <c r="L23" s="18">
        <f>297542.03-H23-J23</f>
        <v>39834.670000000042</v>
      </c>
      <c r="M23" s="19"/>
      <c r="N23" s="18">
        <f>424431.86-H23-J23-L23</f>
        <v>126889.82999999996</v>
      </c>
      <c r="O23" s="19"/>
      <c r="P23" s="18"/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424431.86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6152.43</v>
      </c>
      <c r="G24" s="19"/>
      <c r="H24" s="18">
        <f>14563.69-F24</f>
        <v>8411.26</v>
      </c>
      <c r="I24" s="19"/>
      <c r="J24" s="18">
        <f>134860.23-F24-H24</f>
        <v>120296.54000000002</v>
      </c>
      <c r="K24" s="19"/>
      <c r="L24" s="18">
        <f>170511.32-F24-H24-J24</f>
        <v>35651.089999999982</v>
      </c>
      <c r="M24" s="19"/>
      <c r="N24" s="18">
        <f>170648.68-F24-H24-J24-L24</f>
        <v>137.35999999998603</v>
      </c>
      <c r="O24" s="19"/>
      <c r="P24" s="18"/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170648.68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254.04</v>
      </c>
      <c r="G25" s="19"/>
      <c r="H25" s="18">
        <f>1028.63-F25</f>
        <v>774.59000000000015</v>
      </c>
      <c r="I25" s="19"/>
      <c r="J25" s="18">
        <f>1835.97-F25-H25</f>
        <v>807.33999999999992</v>
      </c>
      <c r="K25" s="19"/>
      <c r="L25" s="20">
        <f>2667.92-F25-H25-J25</f>
        <v>831.95</v>
      </c>
      <c r="M25" s="19"/>
      <c r="N25" s="20">
        <f>3475.14-F25-H25-J25-L25</f>
        <v>807.2199999999998</v>
      </c>
      <c r="O25" s="19"/>
      <c r="P25" s="20"/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3475.14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/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70" t="s">
        <v>31</v>
      </c>
      <c r="C27" s="70"/>
      <c r="D27" s="70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0</v>
      </c>
      <c r="K27" s="40"/>
      <c r="L27" s="39">
        <f>L28</f>
        <v>0</v>
      </c>
      <c r="M27" s="40"/>
      <c r="N27" s="39">
        <f>N28</f>
        <v>7445.6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7445.6</v>
      </c>
      <c r="AF27" s="5"/>
      <c r="AI27" s="5"/>
    </row>
    <row r="28" spans="2:36" s="4" customFormat="1" ht="20.100000000000001" customHeight="1" x14ac:dyDescent="0.2">
      <c r="B28" s="33"/>
      <c r="C28" s="62" t="s">
        <v>32</v>
      </c>
      <c r="D28" s="62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0</v>
      </c>
      <c r="K28" s="23"/>
      <c r="L28" s="27">
        <f>L29+L30</f>
        <v>0</v>
      </c>
      <c r="M28" s="23"/>
      <c r="N28" s="27">
        <f>N29+N30</f>
        <v>7445.6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7445.6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/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0</v>
      </c>
      <c r="K30" s="19"/>
      <c r="L30" s="20">
        <v>0</v>
      </c>
      <c r="M30" s="19"/>
      <c r="N30" s="20">
        <v>7445.6</v>
      </c>
      <c r="O30" s="19"/>
      <c r="P30" s="20"/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7445.6</v>
      </c>
      <c r="AF30" s="2"/>
      <c r="AI30" s="2"/>
    </row>
    <row r="31" spans="2:36" s="7" customFormat="1" ht="20.100000000000001" customHeight="1" x14ac:dyDescent="0.25">
      <c r="B31" s="65" t="s">
        <v>36</v>
      </c>
      <c r="C31" s="66"/>
      <c r="D31" s="67"/>
      <c r="E31" s="36"/>
      <c r="F31" s="35">
        <f>F27+F6</f>
        <v>5651858.8300000001</v>
      </c>
      <c r="G31" s="37"/>
      <c r="H31" s="35">
        <f>H27+H6</f>
        <v>7548356.8900000006</v>
      </c>
      <c r="I31" s="37"/>
      <c r="J31" s="35">
        <f>J27+J6</f>
        <v>8683768.9800000004</v>
      </c>
      <c r="K31" s="37"/>
      <c r="L31" s="35">
        <f>L27+L6</f>
        <v>8351261.4699999988</v>
      </c>
      <c r="M31" s="37"/>
      <c r="N31" s="35">
        <f>N27+N6</f>
        <v>14454963.550000003</v>
      </c>
      <c r="O31" s="37"/>
      <c r="P31" s="35">
        <f>P27+P6</f>
        <v>0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44690209.720000006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B31:D31"/>
    <mergeCell ref="V3:V5"/>
    <mergeCell ref="X3:X5"/>
    <mergeCell ref="C28:D28"/>
    <mergeCell ref="B5:D5"/>
    <mergeCell ref="C12:D12"/>
    <mergeCell ref="B27:D27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Z3:Z5"/>
    <mergeCell ref="AB3:AB5"/>
    <mergeCell ref="AD3:AD5"/>
    <mergeCell ref="B3:D4"/>
    <mergeCell ref="F3:F5"/>
    <mergeCell ref="H3:H5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2023-08-01T16:56:57Z</dcterms:modified>
</cp:coreProperties>
</file>