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6735" windowHeight="7845"/>
  </bookViews>
  <sheets>
    <sheet name="2022" sheetId="5" r:id="rId1"/>
  </sheets>
  <definedNames>
    <definedName name="_xlnm.Print_Area" localSheetId="0">'2022'!$B$1:$AD$34</definedName>
  </definedNames>
  <calcPr calcId="152511"/>
</workbook>
</file>

<file path=xl/calcChain.xml><?xml version="1.0" encoding="utf-8"?>
<calcChain xmlns="http://schemas.openxmlformats.org/spreadsheetml/2006/main">
  <c r="Z24" i="5" l="1"/>
  <c r="X24" i="5"/>
  <c r="Z30" i="5"/>
  <c r="Z28" i="5"/>
  <c r="Z27" i="5"/>
  <c r="Z25" i="5"/>
  <c r="AD25" i="5"/>
  <c r="Z23" i="5"/>
  <c r="AD23" i="5"/>
  <c r="Z22" i="5"/>
  <c r="AD22" i="5"/>
  <c r="Z21" i="5"/>
  <c r="AD21" i="5"/>
  <c r="Z20" i="5"/>
  <c r="AD20" i="5"/>
  <c r="Z19" i="5"/>
  <c r="AD19" i="5"/>
  <c r="Z18" i="5"/>
  <c r="AD18" i="5"/>
  <c r="Z17" i="5"/>
  <c r="AD17" i="5"/>
  <c r="Z16" i="5"/>
  <c r="AD16" i="5"/>
  <c r="Z15" i="5"/>
  <c r="Z14" i="5"/>
  <c r="AD14" i="5"/>
  <c r="Z13" i="5"/>
  <c r="AD13" i="5"/>
  <c r="Z11" i="5"/>
  <c r="Z7" i="5"/>
  <c r="Z10" i="5"/>
  <c r="Z9" i="5"/>
  <c r="Z8" i="5"/>
  <c r="AD8" i="5"/>
  <c r="X30" i="5"/>
  <c r="X25" i="5"/>
  <c r="X23" i="5"/>
  <c r="X22" i="5"/>
  <c r="X21" i="5"/>
  <c r="X20" i="5"/>
  <c r="X19" i="5"/>
  <c r="X18" i="5"/>
  <c r="X17" i="5"/>
  <c r="X16" i="5"/>
  <c r="X15" i="5"/>
  <c r="X14" i="5"/>
  <c r="X13" i="5"/>
  <c r="X11" i="5"/>
  <c r="X10" i="5"/>
  <c r="X9" i="5"/>
  <c r="AD9" i="5"/>
  <c r="X8" i="5"/>
  <c r="V30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1" i="5"/>
  <c r="V10" i="5"/>
  <c r="V9" i="5"/>
  <c r="V8" i="5"/>
  <c r="T30" i="5"/>
  <c r="AD30" i="5"/>
  <c r="AD28" i="5"/>
  <c r="AD27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1" i="5"/>
  <c r="T10" i="5"/>
  <c r="T9" i="5"/>
  <c r="T8" i="5"/>
  <c r="R30" i="5"/>
  <c r="R28" i="5"/>
  <c r="R27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1" i="5"/>
  <c r="R10" i="5"/>
  <c r="R9" i="5"/>
  <c r="R8" i="5"/>
  <c r="P30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1" i="5"/>
  <c r="P10" i="5"/>
  <c r="P7" i="5"/>
  <c r="P9" i="5"/>
  <c r="P8" i="5"/>
  <c r="N30" i="5"/>
  <c r="N28" i="5"/>
  <c r="N27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1" i="5"/>
  <c r="N10" i="5"/>
  <c r="N9" i="5"/>
  <c r="N8" i="5"/>
  <c r="L30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1" i="5"/>
  <c r="L10" i="5"/>
  <c r="L9" i="5"/>
  <c r="L8" i="5"/>
  <c r="J7" i="5"/>
  <c r="J6" i="5"/>
  <c r="L28" i="5"/>
  <c r="L27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1" i="5"/>
  <c r="J10" i="5"/>
  <c r="J9" i="5"/>
  <c r="J8" i="5"/>
  <c r="H25" i="5"/>
  <c r="H24" i="5"/>
  <c r="H22" i="5"/>
  <c r="H20" i="5"/>
  <c r="H18" i="5"/>
  <c r="H17" i="5"/>
  <c r="H16" i="5"/>
  <c r="H15" i="5"/>
  <c r="H14" i="5"/>
  <c r="H11" i="5"/>
  <c r="H10" i="5"/>
  <c r="H9" i="5"/>
  <c r="H8" i="5"/>
  <c r="V28" i="5"/>
  <c r="V27" i="5"/>
  <c r="T28" i="5"/>
  <c r="T27" i="5"/>
  <c r="AD29" i="5"/>
  <c r="AB28" i="5"/>
  <c r="AB27" i="5"/>
  <c r="F7" i="5"/>
  <c r="F12" i="5"/>
  <c r="H28" i="5"/>
  <c r="H27" i="5"/>
  <c r="F28" i="5"/>
  <c r="F27" i="5"/>
  <c r="AD26" i="5"/>
  <c r="J28" i="5"/>
  <c r="J27" i="5"/>
  <c r="P28" i="5"/>
  <c r="P27" i="5"/>
  <c r="X28" i="5"/>
  <c r="X27" i="5"/>
  <c r="AB12" i="5"/>
  <c r="AB7" i="5"/>
  <c r="AB6" i="5"/>
  <c r="AB31" i="5"/>
  <c r="F6" i="5"/>
  <c r="F31" i="5"/>
  <c r="H12" i="5"/>
  <c r="H7" i="5"/>
  <c r="H6" i="5"/>
  <c r="H31" i="5"/>
  <c r="J12" i="5"/>
  <c r="J31" i="5"/>
  <c r="L12" i="5"/>
  <c r="L7" i="5"/>
  <c r="L6" i="5"/>
  <c r="L31" i="5"/>
  <c r="N12" i="5"/>
  <c r="N6" i="5"/>
  <c r="N31" i="5"/>
  <c r="N7" i="5"/>
  <c r="P12" i="5"/>
  <c r="P6" i="5"/>
  <c r="P31" i="5"/>
  <c r="R12" i="5"/>
  <c r="R6" i="5"/>
  <c r="R31" i="5"/>
  <c r="R7" i="5"/>
  <c r="T12" i="5"/>
  <c r="T7" i="5"/>
  <c r="T6" i="5"/>
  <c r="T31" i="5"/>
  <c r="AD24" i="5"/>
  <c r="X12" i="5"/>
  <c r="X6" i="5"/>
  <c r="X31" i="5"/>
  <c r="AD11" i="5"/>
  <c r="AD10" i="5"/>
  <c r="X7" i="5"/>
  <c r="V12" i="5"/>
  <c r="V7" i="5"/>
  <c r="V6" i="5"/>
  <c r="V31" i="5"/>
  <c r="Z12" i="5"/>
  <c r="Z6" i="5"/>
  <c r="Z31" i="5"/>
  <c r="AD15" i="5"/>
  <c r="AD12" i="5"/>
  <c r="AD7" i="5"/>
  <c r="AD6" i="5"/>
  <c r="AD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<sst xmlns="http://schemas.openxmlformats.org/spreadsheetml/2006/main" count="45" uniqueCount="45">
  <si>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</si>
  <si>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</si>
  <si>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</si>
  <si>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</si>
  <si>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</si>
  <si>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</si>
  <si>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</si>
  <si>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</si>
  <si>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</si>
  <si>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</si>
  <si>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</si>
  <si>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</si>
  <si>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</si>
  <si>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</si>
  <si>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</si>
  <si>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</si>
  <si>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</si>
  <si>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</si>
  <si>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</si>
  <si>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</si>
  <si>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</si>
  <si>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</si>
  <si>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</si>
  <si>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</si>
  <si>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</si>
  <si>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</si>
  <si>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</si>
  <si>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</si>
  <si>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</si>
  <si>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</si>
  <si>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</si>
  <si>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</si>
  <si>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</si>
  <si>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</si>
  <si>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</si>
  <si>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</si>
  <si>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</si>
  <si>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</si>
  <si>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</si>
  <si>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</si>
  <si>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</si>
  <si>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</si>
  <si>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</si>
  <si>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2022</t>
  </si>
  <si>
    <t>Data Atualizacao :  01/01/2022 a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</si>
</sst>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2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4" fontId="0" fillId="0" borderId="0" xfId="0" applyNumberFormat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236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7425" y="26670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Z24" sqref="Z24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2.140625" customWidth="1"/>
    <col min="14" max="14" width="15.7109375" customWidth="1"/>
    <col min="15" max="15" width="2.140625" customWidth="1"/>
    <col min="16" max="16" width="15.85546875" customWidth="1"/>
    <col min="17" max="17" width="2.28515625" customWidth="1"/>
    <col min="18" max="18" width="15.7109375" customWidth="1"/>
    <col min="19" max="19" width="2.140625" customWidth="1"/>
    <col min="20" max="20" width="15.7109375" customWidth="1"/>
    <col min="21" max="21" width="1.85546875" customWidth="1"/>
    <col min="22" max="22" width="15.7109375" customWidth="1"/>
    <col min="23" max="23" width="1.5703125" customWidth="1"/>
    <col min="24" max="24" width="15.7109375" customWidth="1"/>
    <col min="25" max="25" width="2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2:35" ht="19.5" customHeight="1" x14ac:dyDescent="0.2">
      <c r="B2" s="60" t="s">
        <v>42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</row>
    <row r="3" spans="2:35" ht="15" customHeight="1" x14ac:dyDescent="0.2">
      <c r="B3" s="66" t="s">
        <v>44</v>
      </c>
      <c r="C3" s="67"/>
      <c r="D3" s="68"/>
      <c r="E3" s="1"/>
      <c r="F3" s="61" t="s">
        <v>0</v>
      </c>
      <c r="G3" s="42"/>
      <c r="H3" s="61" t="s">
        <v>1</v>
      </c>
      <c r="I3" s="42"/>
      <c r="J3" s="61" t="s">
        <v>2</v>
      </c>
      <c r="K3" s="42"/>
      <c r="L3" s="61" t="s">
        <v>3</v>
      </c>
      <c r="M3" s="42"/>
      <c r="N3" s="61" t="s">
        <v>4</v>
      </c>
      <c r="O3" s="42"/>
      <c r="P3" s="61" t="s">
        <v>5</v>
      </c>
      <c r="Q3" s="42"/>
      <c r="R3" s="61" t="s">
        <v>6</v>
      </c>
      <c r="S3" s="42"/>
      <c r="T3" s="53" t="s">
        <v>7</v>
      </c>
      <c r="U3" s="43"/>
      <c r="V3" s="53" t="s">
        <v>8</v>
      </c>
      <c r="W3" s="44"/>
      <c r="X3" s="53" t="s">
        <v>9</v>
      </c>
      <c r="Y3" s="43"/>
      <c r="Z3" s="64" t="s">
        <v>10</v>
      </c>
      <c r="AA3" s="43"/>
      <c r="AB3" s="64" t="s">
        <v>11</v>
      </c>
      <c r="AC3" s="43"/>
      <c r="AD3" s="65" t="s">
        <v>12</v>
      </c>
      <c r="AF3" s="2"/>
      <c r="AI3" s="2"/>
    </row>
    <row r="4" spans="2:35" x14ac:dyDescent="0.2">
      <c r="B4" s="69"/>
      <c r="C4" s="70"/>
      <c r="D4" s="71"/>
      <c r="E4" s="1"/>
      <c r="F4" s="62"/>
      <c r="G4" s="9"/>
      <c r="H4" s="62"/>
      <c r="I4" s="9"/>
      <c r="J4" s="62"/>
      <c r="K4" s="9"/>
      <c r="L4" s="62"/>
      <c r="M4" s="10"/>
      <c r="N4" s="62"/>
      <c r="O4" s="9"/>
      <c r="P4" s="62"/>
      <c r="Q4" s="9"/>
      <c r="R4" s="62"/>
      <c r="S4" s="9"/>
      <c r="T4" s="53"/>
      <c r="U4" s="3"/>
      <c r="V4" s="53"/>
      <c r="W4" s="11"/>
      <c r="X4" s="53"/>
      <c r="Y4" s="8"/>
      <c r="Z4" s="64"/>
      <c r="AA4" s="3"/>
      <c r="AB4" s="64"/>
      <c r="AC4" s="3"/>
      <c r="AD4" s="65"/>
      <c r="AF4" s="2"/>
      <c r="AI4" s="2"/>
    </row>
    <row r="5" spans="2:35" ht="20.100000000000001" customHeight="1" x14ac:dyDescent="0.2">
      <c r="B5" s="55" t="s">
        <v>13</v>
      </c>
      <c r="C5" s="55"/>
      <c r="D5" s="55"/>
      <c r="E5" s="1"/>
      <c r="F5" s="63"/>
      <c r="G5" s="10"/>
      <c r="H5" s="63"/>
      <c r="I5" s="10"/>
      <c r="J5" s="63"/>
      <c r="K5" s="10"/>
      <c r="L5" s="63"/>
      <c r="M5" s="10"/>
      <c r="N5" s="63"/>
      <c r="O5" s="10"/>
      <c r="P5" s="63"/>
      <c r="Q5" s="10"/>
      <c r="R5" s="63"/>
      <c r="S5" s="10"/>
      <c r="T5" s="53"/>
      <c r="U5" s="8"/>
      <c r="V5" s="53"/>
      <c r="W5" s="12"/>
      <c r="X5" s="53"/>
      <c r="Y5" s="8"/>
      <c r="Z5" s="64"/>
      <c r="AA5" s="8"/>
      <c r="AB5" s="64"/>
      <c r="AC5" s="8"/>
      <c r="AD5" s="65"/>
      <c r="AF5" s="2"/>
      <c r="AI5" s="2"/>
    </row>
    <row r="6" spans="2:35" ht="20.100000000000001" customHeight="1" x14ac:dyDescent="0.25">
      <c r="B6" s="59" t="s">
        <v>14</v>
      </c>
      <c r="C6" s="59"/>
      <c r="D6" s="59"/>
      <c r="E6" s="1"/>
      <c r="F6" s="29">
        <f>F7+F12</f>
        <v>5918448.04</v>
      </c>
      <c r="G6" s="13"/>
      <c r="H6" s="29">
        <f>H7+H12</f>
        <v>6616155.0499999998</v>
      </c>
      <c r="I6" s="13"/>
      <c r="J6" s="29">
        <f>J7+J12</f>
        <v>8252427.9399999995</v>
      </c>
      <c r="K6" s="13"/>
      <c r="L6" s="29">
        <f>L7+L12</f>
        <v>7471135.5800000001</v>
      </c>
      <c r="M6" s="13"/>
      <c r="N6" s="29">
        <f>N7+N12</f>
        <v>7810099.5399999991</v>
      </c>
      <c r="O6" s="13"/>
      <c r="P6" s="29">
        <f>P7+P12</f>
        <v>7826871.1300000027</v>
      </c>
      <c r="Q6" s="13"/>
      <c r="R6" s="29">
        <f>R7+R12</f>
        <v>7455263.009999997</v>
      </c>
      <c r="S6" s="13"/>
      <c r="T6" s="29">
        <f>T7+T12</f>
        <v>14436313.679999998</v>
      </c>
      <c r="U6" s="13"/>
      <c r="V6" s="29">
        <f>V7+V12</f>
        <v>9639906.4199999981</v>
      </c>
      <c r="W6" s="13"/>
      <c r="X6" s="29">
        <f>X7+X12</f>
        <v>9384831.7000000048</v>
      </c>
      <c r="Y6" s="8"/>
      <c r="Z6" s="29">
        <f>Z7+Z12</f>
        <v>10387783.933000002</v>
      </c>
      <c r="AA6" s="45"/>
      <c r="AB6" s="29">
        <f>AB7+AB12</f>
        <v>0</v>
      </c>
      <c r="AC6" s="13"/>
      <c r="AD6" s="30">
        <f>AD7+AD12</f>
        <v>95199236.023000002</v>
      </c>
      <c r="AF6" s="2"/>
      <c r="AI6" s="2"/>
    </row>
    <row r="7" spans="2:35" ht="20.100000000000001" customHeight="1" x14ac:dyDescent="0.2">
      <c r="B7" s="28"/>
      <c r="C7" s="54" t="s">
        <v>15</v>
      </c>
      <c r="D7" s="54"/>
      <c r="E7" s="1"/>
      <c r="F7" s="27">
        <f>F8+F9+F10+F11</f>
        <v>5488380.8899999997</v>
      </c>
      <c r="G7" s="14"/>
      <c r="H7" s="27">
        <f>H8+H9+H10+H11</f>
        <v>4772987.62</v>
      </c>
      <c r="I7" s="14"/>
      <c r="J7" s="27">
        <f>J8+J9+J10+J11</f>
        <v>5146835.3599999994</v>
      </c>
      <c r="K7" s="14"/>
      <c r="L7" s="27">
        <f>L8+L9+L10+L11</f>
        <v>5154932.5</v>
      </c>
      <c r="M7" s="14"/>
      <c r="N7" s="27">
        <f>N8+N9+N10+N11</f>
        <v>5171575.209999999</v>
      </c>
      <c r="O7" s="14"/>
      <c r="P7" s="27">
        <f>P8+P9+P10+P11</f>
        <v>5602025.9800000032</v>
      </c>
      <c r="Q7" s="14"/>
      <c r="R7" s="27">
        <f>R8+R9+R10+R11</f>
        <v>5106633.4699999969</v>
      </c>
      <c r="S7" s="14"/>
      <c r="T7" s="27">
        <f>T8+T9+T10+T11</f>
        <v>5356730.5399999972</v>
      </c>
      <c r="U7" s="14"/>
      <c r="V7" s="27">
        <f>V8+V9+V10+V11</f>
        <v>5117803.0699999984</v>
      </c>
      <c r="W7" s="14"/>
      <c r="X7" s="27">
        <f>X8+X9+X10+X11</f>
        <v>5223214.2800000031</v>
      </c>
      <c r="Y7" s="8"/>
      <c r="Z7" s="27">
        <f>Z8+Z9+Z10+Z11</f>
        <v>6503489.6400000006</v>
      </c>
      <c r="AA7" s="46"/>
      <c r="AB7" s="27">
        <f>AB8+AB9+AB10+AB11</f>
        <v>0</v>
      </c>
      <c r="AC7" s="14"/>
      <c r="AD7" s="27">
        <f>SUM(AD8:AD11)</f>
        <v>58644608.560000002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26649.61</v>
      </c>
      <c r="G8" s="19"/>
      <c r="H8" s="18">
        <f>40390.09-F8</f>
        <v>13740.479999999996</v>
      </c>
      <c r="I8" s="19"/>
      <c r="J8" s="18">
        <f>58560.95-F8-H8</f>
        <v>18170.86</v>
      </c>
      <c r="K8" s="19"/>
      <c r="L8" s="18">
        <f>76349.48-F8-H8-J8</f>
        <v>17788.53</v>
      </c>
      <c r="M8" s="19"/>
      <c r="N8" s="20">
        <f>95053.11-F8-H8-J8-L8</f>
        <v>18703.630000000005</v>
      </c>
      <c r="O8" s="19"/>
      <c r="P8" s="20">
        <f>113365.36-F8-H8-J8-L8-N8</f>
        <v>18312.25</v>
      </c>
      <c r="Q8" s="19"/>
      <c r="R8" s="20">
        <f>133176.68-F8-H8-J8-L8-N8-P8</f>
        <v>19811.319999999992</v>
      </c>
      <c r="S8" s="19"/>
      <c r="T8" s="20">
        <f>152080.74-F8-H8-J8-L8-N8-P8-R8</f>
        <v>18904.059999999998</v>
      </c>
      <c r="U8" s="21"/>
      <c r="V8" s="20">
        <f>172332.61-F8-H8-J8-L8-N8-P8-R8-T8</f>
        <v>20251.870000000024</v>
      </c>
      <c r="W8" s="21"/>
      <c r="X8" s="20">
        <f>191912.1-F8-H8-J8-L8-N8-P8-R8-T8-V8</f>
        <v>19579.490000000005</v>
      </c>
      <c r="Y8" s="41"/>
      <c r="Z8" s="18">
        <f>211497.59-F8-H8-J8-L8-N8-P8-R8-T8-V8-X8</f>
        <v>19585.489999999991</v>
      </c>
      <c r="AA8" s="41"/>
      <c r="AB8" s="18"/>
      <c r="AC8" s="21"/>
      <c r="AD8" s="15">
        <f>F8+H8+J8+L8+N8+P8+R8+T8+V8+X8+Z8+AB8</f>
        <v>211497.59000000003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4110146.92</v>
      </c>
      <c r="G9" s="19"/>
      <c r="H9" s="18">
        <f>7796161.99-F9</f>
        <v>3686015.0700000003</v>
      </c>
      <c r="I9" s="19"/>
      <c r="J9" s="18">
        <f>11730966.78-F9-H9</f>
        <v>3934804.7899999991</v>
      </c>
      <c r="K9" s="19"/>
      <c r="L9" s="18">
        <f>15682524.48-F9-H9-J9</f>
        <v>3951557.7000000011</v>
      </c>
      <c r="M9" s="19"/>
      <c r="N9" s="20">
        <f>19639923.72-F9-H9-J9-L9</f>
        <v>3957399.2399999984</v>
      </c>
      <c r="O9" s="19"/>
      <c r="P9" s="20">
        <f>24020380.98-F9-H9-J9-L9-N9</f>
        <v>4380457.2600000035</v>
      </c>
      <c r="Q9" s="19"/>
      <c r="R9" s="20">
        <f>27856376.35-F9-H9-J9-L9-N9-P9</f>
        <v>3835995.3699999973</v>
      </c>
      <c r="S9" s="19"/>
      <c r="T9" s="20">
        <f>31980370.22-F9-H9-J9-L9-N9-P9-R9</f>
        <v>4123993.8699999973</v>
      </c>
      <c r="U9" s="21"/>
      <c r="V9" s="20">
        <f>35856925.76-F9-H9-J9-L9-N9-P9-R9-T9</f>
        <v>3876555.5399999972</v>
      </c>
      <c r="W9" s="21"/>
      <c r="X9" s="20">
        <f>39847539.64-F9-H9-J9-L9-N9-P9-R9-T9-V9</f>
        <v>3990613.8800000027</v>
      </c>
      <c r="Y9" s="41"/>
      <c r="Z9" s="18">
        <f>45027281.22-F9-H9-J9-L9-N9-P9-R9-T9-V9-X9</f>
        <v>5179741.58</v>
      </c>
      <c r="AA9" s="41"/>
      <c r="AB9" s="18"/>
      <c r="AC9" s="21"/>
      <c r="AD9" s="15">
        <f>F9+H9+J9+L9+N9+P9+R9+T9+V9+X9+Z9+AB9</f>
        <v>45027281.219999999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1349057.18</v>
      </c>
      <c r="G10" s="19"/>
      <c r="H10" s="18">
        <f>2422097.55-F10</f>
        <v>1073040.3699999999</v>
      </c>
      <c r="I10" s="19"/>
      <c r="J10" s="18">
        <f>3615138.38-F10-H10</f>
        <v>1193040.8300000003</v>
      </c>
      <c r="K10" s="19"/>
      <c r="L10" s="18">
        <f>4795501.26-F10-H10-J10</f>
        <v>1180362.8799999997</v>
      </c>
      <c r="M10" s="19"/>
      <c r="N10" s="20">
        <f>5978750.66-F10-H10-J10-L10</f>
        <v>1183249.4000000006</v>
      </c>
      <c r="O10" s="19"/>
      <c r="P10" s="20">
        <f>7167489.91-F10-H10-J10-L10-N10</f>
        <v>1188739.2499999998</v>
      </c>
      <c r="Q10" s="19"/>
      <c r="R10" s="20">
        <f>8416406.03-F10-H10-J10-L10-N10-P10</f>
        <v>1248916.1199999994</v>
      </c>
      <c r="S10" s="19"/>
      <c r="T10" s="20">
        <f>9626607.43-F10-H10-J10-L10-N10-P10-R10</f>
        <v>1210201.4000000001</v>
      </c>
      <c r="U10" s="21"/>
      <c r="V10" s="20">
        <f>10844116.24-F10-H10-J10-L10-N10-P10-R10-T10</f>
        <v>1217508.8100000017</v>
      </c>
      <c r="W10" s="21"/>
      <c r="X10" s="20">
        <f>12050759.64-F10-H10-J10-L10-N10-P10-R10-T10-V10</f>
        <v>1206643.4000000001</v>
      </c>
      <c r="Y10" s="41"/>
      <c r="Z10" s="18">
        <f>13347151.59-F10-H10-J10-L10-N10-P10-R10-T10-V10-X10</f>
        <v>1296391.9500000004</v>
      </c>
      <c r="AA10" s="41"/>
      <c r="AB10" s="18"/>
      <c r="AC10" s="21"/>
      <c r="AD10" s="15">
        <f>F10+H10+J10+L10+N10+P10+R10+T10+V10+X10+Z10+AB10</f>
        <v>13347151.590000004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2527.1799999999998</v>
      </c>
      <c r="G11" s="19"/>
      <c r="H11" s="18">
        <f>2718.88-F11</f>
        <v>191.70000000000027</v>
      </c>
      <c r="I11" s="19"/>
      <c r="J11" s="18">
        <f>3537.76-F11-H11</f>
        <v>818.88000000000011</v>
      </c>
      <c r="K11" s="19"/>
      <c r="L11" s="18">
        <f>8761.15-F11-H11-J11</f>
        <v>5223.3899999999985</v>
      </c>
      <c r="M11" s="19"/>
      <c r="N11" s="20">
        <f>20984.09-F11-H11-J11-L11</f>
        <v>12222.939999999999</v>
      </c>
      <c r="O11" s="19"/>
      <c r="P11" s="20">
        <f>35501.31-F11-H11-J11-L11-N11</f>
        <v>14517.220000000001</v>
      </c>
      <c r="Q11" s="19"/>
      <c r="R11" s="20">
        <f>37411.97-F11-H11-J11-L11-N11-P11</f>
        <v>1910.6600000000071</v>
      </c>
      <c r="S11" s="19"/>
      <c r="T11" s="20">
        <f>41043.18-F11-H11-J11-L11-N11-P11-R11</f>
        <v>3631.2099999999991</v>
      </c>
      <c r="U11" s="21"/>
      <c r="V11" s="20">
        <f>44530.03-F11-H11-J11-L11-N11-P11-R11-T11</f>
        <v>3486.8499999999985</v>
      </c>
      <c r="W11" s="21"/>
      <c r="X11" s="20">
        <f>50907.54-F11-H11-J11-L11-N11-P11-R11-T11-V11</f>
        <v>6377.510000000002</v>
      </c>
      <c r="Y11" s="41"/>
      <c r="Z11" s="18">
        <f>58678.16-F11-H11-J11-L11-N11-P11-R11-T11-V11-X11</f>
        <v>7770.619999999999</v>
      </c>
      <c r="AA11" s="41"/>
      <c r="AB11" s="18"/>
      <c r="AC11" s="21"/>
      <c r="AD11" s="15">
        <f>F11+H11+J11+L11+N11+P11+R11+T11+V11+X11+Z11+AB11</f>
        <v>58678.16</v>
      </c>
      <c r="AF11" s="2"/>
      <c r="AI11" s="2"/>
    </row>
    <row r="12" spans="2:35" s="4" customFormat="1" ht="20.100000000000001" customHeight="1" x14ac:dyDescent="0.2">
      <c r="B12" s="28"/>
      <c r="C12" s="56" t="s">
        <v>18</v>
      </c>
      <c r="D12" s="56"/>
      <c r="E12" s="22"/>
      <c r="F12" s="32">
        <f>SUM(F13:F26)</f>
        <v>430067.15</v>
      </c>
      <c r="G12" s="23"/>
      <c r="H12" s="32">
        <f>SUM(H13:H26)</f>
        <v>1843167.43</v>
      </c>
      <c r="I12" s="23"/>
      <c r="J12" s="32">
        <f>SUM(J13:J26)</f>
        <v>3105592.58</v>
      </c>
      <c r="K12" s="23"/>
      <c r="L12" s="32">
        <f>SUM(L13:L26)</f>
        <v>2316203.0800000005</v>
      </c>
      <c r="M12" s="23"/>
      <c r="N12" s="32">
        <f>SUM(N13:N26)</f>
        <v>2638524.3300000005</v>
      </c>
      <c r="O12" s="23"/>
      <c r="P12" s="32">
        <f>SUM(P13:P26)</f>
        <v>2224845.15</v>
      </c>
      <c r="Q12" s="23"/>
      <c r="R12" s="32">
        <f>SUM(R13:R26)</f>
        <v>2348629.54</v>
      </c>
      <c r="S12" s="23"/>
      <c r="T12" s="32">
        <f>SUM(T13:T26)</f>
        <v>9079583.1400000006</v>
      </c>
      <c r="U12" s="23"/>
      <c r="V12" s="32">
        <f>SUM(V13:V26)</f>
        <v>4522103.3499999996</v>
      </c>
      <c r="W12" s="23"/>
      <c r="X12" s="32">
        <f>SUM(X13:X26)</f>
        <v>4161617.4200000018</v>
      </c>
      <c r="Y12" s="41"/>
      <c r="Z12" s="32">
        <f>SUM(Z13:Z26)</f>
        <v>3884294.2930000005</v>
      </c>
      <c r="AA12" s="46"/>
      <c r="AB12" s="32">
        <f>SUM(AB13:AB26)</f>
        <v>0</v>
      </c>
      <c r="AC12" s="23"/>
      <c r="AD12" s="32">
        <f>SUM(AD13:AD26)</f>
        <v>36554627.463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22247.53</v>
      </c>
      <c r="I13" s="19"/>
      <c r="J13" s="18">
        <f>693873.01-H13</f>
        <v>671625.48</v>
      </c>
      <c r="K13" s="19"/>
      <c r="L13" s="18">
        <f>718671.59-H13-J13</f>
        <v>24798.579999999958</v>
      </c>
      <c r="M13" s="19"/>
      <c r="N13" s="18">
        <f>718671.59-F13-H13-J13-L13</f>
        <v>0</v>
      </c>
      <c r="O13" s="19"/>
      <c r="P13" s="18">
        <f>718215.18-F13-H13-J13-L13-N13</f>
        <v>-456.40999999991618</v>
      </c>
      <c r="Q13" s="19"/>
      <c r="R13" s="18">
        <f>718215.18-F13-H13-J13-L13-N13-P13</f>
        <v>0</v>
      </c>
      <c r="S13" s="19"/>
      <c r="T13" s="18">
        <f>718215.18-H13-J13-L13-P13</f>
        <v>0</v>
      </c>
      <c r="U13" s="21"/>
      <c r="V13" s="18">
        <f>718215.18-H13-J13-L13-P13</f>
        <v>0</v>
      </c>
      <c r="W13" s="21"/>
      <c r="X13" s="18">
        <f>718215.18-H13-J13-L13-P13</f>
        <v>0</v>
      </c>
      <c r="Y13" s="41"/>
      <c r="Z13" s="18">
        <f>718215.18-H13-J13-L13-P13</f>
        <v>0</v>
      </c>
      <c r="AA13" s="41"/>
      <c r="AB13" s="18"/>
      <c r="AC13" s="21"/>
      <c r="AD13" s="15">
        <f t="shared" ref="AD13:AD26" si="0">F13+H13+J13+L13+N13+P13+R13+T13+V13+X13+Z13+AB13</f>
        <v>718215.18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18912.759999999998</v>
      </c>
      <c r="G14" s="19"/>
      <c r="H14" s="18">
        <f>36795.92-F14</f>
        <v>17883.16</v>
      </c>
      <c r="I14" s="19"/>
      <c r="J14" s="18">
        <f>56200.96-F14-H14</f>
        <v>19405.039999999997</v>
      </c>
      <c r="K14" s="19"/>
      <c r="L14" s="18">
        <f>76858.93-F14-H14-J14</f>
        <v>20657.969999999998</v>
      </c>
      <c r="M14" s="19"/>
      <c r="N14" s="20">
        <f>97508.92-F14-H14-J14-L14</f>
        <v>20649.990000000009</v>
      </c>
      <c r="O14" s="19"/>
      <c r="P14" s="20">
        <f>118743.46-F14-H14-J14-L14-N14</f>
        <v>21234.540000000005</v>
      </c>
      <c r="Q14" s="19"/>
      <c r="R14" s="20">
        <f>142565.85-F14-H14-J14-L14-N14-P14</f>
        <v>23822.390000000003</v>
      </c>
      <c r="S14" s="19"/>
      <c r="T14" s="20">
        <f>165869.22-F14-H14-J14-L14-N14-P14-R14</f>
        <v>23303.369999999977</v>
      </c>
      <c r="U14" s="21"/>
      <c r="V14" s="20">
        <f>191551.19-F14-H14-J14-L14-N14-P14-R14-T14</f>
        <v>25681.96999999999</v>
      </c>
      <c r="W14" s="21"/>
      <c r="X14" s="20">
        <f>218136.94-F14-H14-J14-L14-N14-P14-R14-T14-V14</f>
        <v>26585.749999999996</v>
      </c>
      <c r="Y14" s="41"/>
      <c r="Z14" s="18">
        <f>243222.123-F14-H14-J14-L14-N14-P14-R14-T14-V14-X14</f>
        <v>25085.182999999979</v>
      </c>
      <c r="AA14" s="41"/>
      <c r="AB14" s="18"/>
      <c r="AC14" s="21"/>
      <c r="AD14" s="15">
        <f t="shared" si="0"/>
        <v>243222.12299999996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1640.08</v>
      </c>
      <c r="G15" s="19"/>
      <c r="H15" s="18">
        <f>60432.71-F15</f>
        <v>58792.63</v>
      </c>
      <c r="I15" s="19"/>
      <c r="J15" s="18">
        <f>136720.42-F15-H15</f>
        <v>76287.710000000021</v>
      </c>
      <c r="K15" s="19"/>
      <c r="L15" s="18">
        <f>218494.2-F15-H15-J15</f>
        <v>81773.78</v>
      </c>
      <c r="M15" s="19"/>
      <c r="N15" s="20">
        <f>317004.48-F15-H15-J15-L15</f>
        <v>98510.279999999941</v>
      </c>
      <c r="O15" s="19"/>
      <c r="P15" s="20">
        <f>426371.95-F15-H15-J15-L15-N15</f>
        <v>109367.47000000003</v>
      </c>
      <c r="Q15" s="19"/>
      <c r="R15" s="20">
        <f>511694.48-F15-H15-J15-L15-N15-P15</f>
        <v>85322.529999999941</v>
      </c>
      <c r="S15" s="19"/>
      <c r="T15" s="20">
        <f>611211.9-F15-H15-J15-L15-N15-P15-R15</f>
        <v>99517.420000000187</v>
      </c>
      <c r="U15" s="21"/>
      <c r="V15" s="20">
        <f>706106.32-F15-H15-J15-L15-N15-P15-R15-T15</f>
        <v>94894.419999999809</v>
      </c>
      <c r="W15" s="21"/>
      <c r="X15" s="20">
        <f>796301.12-F15-H15-J15-L15-N15-P15-R15-T15-V15</f>
        <v>90194.800000000017</v>
      </c>
      <c r="Y15" s="41"/>
      <c r="Z15" s="18">
        <f>888049.72-F15-H15-J15-L15-N15-P15-R15-T15-V15-X15</f>
        <v>91748.600000000122</v>
      </c>
      <c r="AA15" s="41"/>
      <c r="AB15" s="18"/>
      <c r="AC15" s="21"/>
      <c r="AD15" s="15">
        <f t="shared" si="0"/>
        <v>888049.72000000009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f>25590.62-F16</f>
        <v>25590.62</v>
      </c>
      <c r="I16" s="19"/>
      <c r="J16" s="18">
        <f>53081.06-H16</f>
        <v>27490.44</v>
      </c>
      <c r="K16" s="19"/>
      <c r="L16" s="18">
        <f>61577.34-H16-J16</f>
        <v>8496.2800000000025</v>
      </c>
      <c r="M16" s="19"/>
      <c r="N16" s="20">
        <f>84224.86-F16-H16-J16-L16</f>
        <v>22647.520000000004</v>
      </c>
      <c r="O16" s="19"/>
      <c r="P16" s="20">
        <f>106017.64-F16-H16-J16-L16-N16</f>
        <v>21792.78</v>
      </c>
      <c r="Q16" s="19"/>
      <c r="R16" s="20">
        <f>170003.12-F16-H16-J16-L16-N16-P16</f>
        <v>63985.479999999996</v>
      </c>
      <c r="S16" s="19"/>
      <c r="T16" s="20">
        <f>182899.59-H16-J16-L16-N16-P16-R16</f>
        <v>12896.470000000001</v>
      </c>
      <c r="U16" s="21"/>
      <c r="V16" s="20">
        <f>194581.75-H16-J16-L16-N16-P16-R16-T16</f>
        <v>11682.160000000003</v>
      </c>
      <c r="W16" s="21"/>
      <c r="X16" s="20">
        <f>194581.75-H16-J16-L16-N16-P16-R16-T16-V16</f>
        <v>0</v>
      </c>
      <c r="Y16" s="41"/>
      <c r="Z16" s="18">
        <f>252669.38-H16-J16-L16-N16-P16-R16-T16-V16-X16</f>
        <v>58087.630000000019</v>
      </c>
      <c r="AA16" s="41"/>
      <c r="AB16" s="18"/>
      <c r="AC16" s="21"/>
      <c r="AD16" s="15">
        <f t="shared" si="0"/>
        <v>252669.38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7096.15</v>
      </c>
      <c r="G17" s="19"/>
      <c r="H17" s="18">
        <f>238883.84-F17</f>
        <v>231787.69</v>
      </c>
      <c r="I17" s="19"/>
      <c r="J17" s="18">
        <f>490386.66-F17-H17</f>
        <v>251502.81999999995</v>
      </c>
      <c r="K17" s="19"/>
      <c r="L17" s="18">
        <f>750017.13-F17-H17-J17</f>
        <v>259630.47000000003</v>
      </c>
      <c r="M17" s="19"/>
      <c r="N17" s="20">
        <f>1017575.53-F17-H17-J17-L17</f>
        <v>267558.39999999997</v>
      </c>
      <c r="O17" s="19"/>
      <c r="P17" s="20">
        <f>1273837.32-F17-H17-J17-L17-N17</f>
        <v>256261.79000000027</v>
      </c>
      <c r="Q17" s="19"/>
      <c r="R17" s="20">
        <f>1529602.33-F17-H17-J17-L17-N17-P17</f>
        <v>255765.00999999995</v>
      </c>
      <c r="S17" s="19"/>
      <c r="T17" s="20">
        <f>1782824.05-F17-H17-J17-L17-N17-P17-R17</f>
        <v>253221.72000000003</v>
      </c>
      <c r="U17" s="21"/>
      <c r="V17" s="20">
        <f>2114748.83-F17-H17-J17-L17-N17-P17-R17-T17</f>
        <v>331924.7800000002</v>
      </c>
      <c r="W17" s="21"/>
      <c r="X17" s="20">
        <f>2410523.58-F17-H17-J17-L17-N17-P17-R17-T17-V17</f>
        <v>295774.75000000006</v>
      </c>
      <c r="Y17" s="41"/>
      <c r="Z17" s="18">
        <f>2672338.81-F17-H17-J17-L17-N17-P17-R17-T17-V17-X17</f>
        <v>261815.22999999992</v>
      </c>
      <c r="AA17" s="41"/>
      <c r="AB17" s="18"/>
      <c r="AC17" s="21"/>
      <c r="AD17" s="15">
        <f t="shared" si="0"/>
        <v>2672338.81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0</v>
      </c>
      <c r="G18" s="19"/>
      <c r="H18" s="18">
        <f>3048.93-F18</f>
        <v>3048.93</v>
      </c>
      <c r="I18" s="19"/>
      <c r="J18" s="18">
        <f>6094.41-H18</f>
        <v>3045.48</v>
      </c>
      <c r="K18" s="19"/>
      <c r="L18" s="18">
        <f>9151.48-H18-J18</f>
        <v>3057.0699999999993</v>
      </c>
      <c r="M18" s="19"/>
      <c r="N18" s="18">
        <f>40422.98-F18-H18-J18-L18</f>
        <v>31271.5</v>
      </c>
      <c r="O18" s="19"/>
      <c r="P18" s="20">
        <f>62093.41-F18-H18-J18-L18-N18</f>
        <v>21670.43</v>
      </c>
      <c r="Q18" s="19"/>
      <c r="R18" s="20">
        <f>85230.97-F18-H18-J18-L18-N18-P18</f>
        <v>23137.560000000019</v>
      </c>
      <c r="S18" s="19"/>
      <c r="T18" s="20">
        <f>107747.52-H18-J18-L18-N18-P18-R18</f>
        <v>22516.550000000003</v>
      </c>
      <c r="U18" s="21"/>
      <c r="V18" s="18">
        <f>131001.69-H18-J18-L18-N18-P18-R18-T18</f>
        <v>23254.170000000006</v>
      </c>
      <c r="W18" s="21"/>
      <c r="X18" s="18">
        <f>167185.36-H18-J18-L18-N18-P18-R18-T18-V18</f>
        <v>36183.669999999947</v>
      </c>
      <c r="Y18" s="41"/>
      <c r="Z18" s="18">
        <f>201384.51-H18-J18-L18-N18-P18-R18-T18-V18-X18</f>
        <v>34199.150000000031</v>
      </c>
      <c r="AA18" s="41"/>
      <c r="AB18" s="18"/>
      <c r="AC18" s="21"/>
      <c r="AD18" s="15">
        <f t="shared" si="0"/>
        <v>201384.51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335695.87</v>
      </c>
      <c r="I19" s="19"/>
      <c r="J19" s="18">
        <f>683941.94-H19</f>
        <v>348246.06999999995</v>
      </c>
      <c r="K19" s="19"/>
      <c r="L19" s="18">
        <f>1027790.55-H19-J19</f>
        <v>343848.6100000001</v>
      </c>
      <c r="M19" s="19"/>
      <c r="N19" s="18">
        <f>1370387.4-F19-H19-J19-L19</f>
        <v>342596.84999999986</v>
      </c>
      <c r="O19" s="19"/>
      <c r="P19" s="18">
        <f>1712984.25-F19-H19-J19-L19-N19</f>
        <v>342596.85</v>
      </c>
      <c r="Q19" s="19"/>
      <c r="R19" s="18">
        <f>2120317.36-F19-H19-J19-L19-N19-P19</f>
        <v>407333.11</v>
      </c>
      <c r="S19" s="19"/>
      <c r="T19" s="18">
        <f>2494952.42-F19-H19-J19-L19-N19-P19-R19</f>
        <v>374635.06000000006</v>
      </c>
      <c r="U19" s="21"/>
      <c r="V19" s="20">
        <f>2869917.4-H19-J19-L19-N19-P19-R19-T19</f>
        <v>374964.97999999986</v>
      </c>
      <c r="W19" s="21"/>
      <c r="X19" s="20">
        <f>3244882.38-H19-J19-L19-N19-P19-R19-T19-V19</f>
        <v>374964.98000000056</v>
      </c>
      <c r="Y19" s="41"/>
      <c r="Z19" s="18">
        <f>3625505.77-H19-J19-L19-N19-P19-R19-T19-V19-X19</f>
        <v>380623.38999999966</v>
      </c>
      <c r="AA19" s="41"/>
      <c r="AB19" s="18"/>
      <c r="AC19" s="21"/>
      <c r="AD19" s="15">
        <f t="shared" si="0"/>
        <v>3625505.77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369951.59</v>
      </c>
      <c r="G20" s="19"/>
      <c r="H20" s="18">
        <f>1317890.51-F20</f>
        <v>947938.91999999993</v>
      </c>
      <c r="I20" s="19"/>
      <c r="J20" s="18">
        <f>2832843.78-F20-H20</f>
        <v>1514953.27</v>
      </c>
      <c r="K20" s="19"/>
      <c r="L20" s="18">
        <f>4039048.8-F20-H20-J20</f>
        <v>1206205.02</v>
      </c>
      <c r="M20" s="19"/>
      <c r="N20" s="20">
        <f>5313609.57-F20-H20-J20-L20</f>
        <v>1274560.7700000005</v>
      </c>
      <c r="O20" s="19"/>
      <c r="P20" s="20">
        <f>6565683.02-F20-H20-J20-L20-N20</f>
        <v>1252073.4499999993</v>
      </c>
      <c r="Q20" s="19"/>
      <c r="R20" s="20">
        <f>7875569.93-F20-H20-J20-L20-N20-P20</f>
        <v>1309886.9100000006</v>
      </c>
      <c r="S20" s="19"/>
      <c r="T20" s="20">
        <f>9188204.87-F20-H20-J20-L20-N20-P20-R20</f>
        <v>1312634.94</v>
      </c>
      <c r="U20" s="21"/>
      <c r="V20" s="20">
        <f>10532327.38-F20-H20-J20-L20-N20-P20-R20-T20</f>
        <v>1344122.5100000016</v>
      </c>
      <c r="W20" s="21"/>
      <c r="X20" s="20">
        <f>11879425.28-F20-H20-J20-L20-N20-P20-R20-T20-V20</f>
        <v>1347097.8999999985</v>
      </c>
      <c r="Y20" s="41"/>
      <c r="Z20" s="18">
        <f>13275096.42-F20-H20-J20-L20-N20-P20-R20-T20-V20-X20</f>
        <v>1395671.1400000001</v>
      </c>
      <c r="AA20" s="41"/>
      <c r="AB20" s="18"/>
      <c r="AC20" s="21"/>
      <c r="AD20" s="15">
        <f t="shared" si="0"/>
        <v>13275096.42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v>61090.79</v>
      </c>
      <c r="I21" s="19"/>
      <c r="J21" s="18">
        <f>132250.25-H21</f>
        <v>71159.459999999992</v>
      </c>
      <c r="K21" s="19"/>
      <c r="L21" s="18">
        <f>407072.29-H21-J21</f>
        <v>274822.04000000004</v>
      </c>
      <c r="M21" s="19"/>
      <c r="N21" s="20">
        <f>839257.74-F21-H21-J21-L21</f>
        <v>432185.44999999995</v>
      </c>
      <c r="O21" s="19"/>
      <c r="P21" s="20">
        <f>913500.97-F21-H21-J21-L21-N21</f>
        <v>74243.229999999981</v>
      </c>
      <c r="Q21" s="19"/>
      <c r="R21" s="20">
        <f>994669.86-F21-H21-J21-L21-N21-P21</f>
        <v>81168.890000000014</v>
      </c>
      <c r="S21" s="19"/>
      <c r="T21" s="20">
        <f>7896813.88-H21-J21-L21-N21-P21-R21</f>
        <v>6902144.0200000005</v>
      </c>
      <c r="U21" s="21"/>
      <c r="V21" s="20">
        <f>10062873.26-H21-J21-L21-N21-P21-R21-T21</f>
        <v>2166059.379999998</v>
      </c>
      <c r="W21" s="21"/>
      <c r="X21" s="20">
        <f>11934432.3-H21-J21-L21-N21-P21-R21-T21-V21</f>
        <v>1871559.0400000028</v>
      </c>
      <c r="Y21" s="41"/>
      <c r="Z21" s="18">
        <f>13375449.71-H21-J21-L21-N21-P21-R21-T21-V21-X21</f>
        <v>1441017.4100000001</v>
      </c>
      <c r="AA21" s="41"/>
      <c r="AB21" s="18"/>
      <c r="AC21" s="21"/>
      <c r="AD21" s="15">
        <f t="shared" si="0"/>
        <v>13375449.710000001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30495.94</v>
      </c>
      <c r="G22" s="19"/>
      <c r="H22" s="18">
        <f>62764.72-F22</f>
        <v>32268.780000000002</v>
      </c>
      <c r="I22" s="19"/>
      <c r="J22" s="18">
        <f>98400.4-F22-H22</f>
        <v>35635.679999999993</v>
      </c>
      <c r="K22" s="19"/>
      <c r="L22" s="18">
        <f>134418.89-F22-H22-J22</f>
        <v>36018.49000000002</v>
      </c>
      <c r="M22" s="19"/>
      <c r="N22" s="20">
        <f>170535.16-F22-H22-J22-L22</f>
        <v>36116.26999999999</v>
      </c>
      <c r="O22" s="19"/>
      <c r="P22" s="20">
        <f>206872.78-F22-H22-J22-L22-N22</f>
        <v>36337.619999999995</v>
      </c>
      <c r="Q22" s="19"/>
      <c r="R22" s="20">
        <f>241759.91-F22-H22-J22-L22-N22-P22</f>
        <v>34887.130000000005</v>
      </c>
      <c r="S22" s="19"/>
      <c r="T22" s="20">
        <f>241876.11-F22-H22-J22-L22-N22-P22-R22</f>
        <v>116.19999999998254</v>
      </c>
      <c r="U22" s="21"/>
      <c r="V22" s="18">
        <f>314095.89-F22-H22-J22-L22-N22-P22-R22-T22</f>
        <v>72219.780000000028</v>
      </c>
      <c r="W22" s="21"/>
      <c r="X22" s="18">
        <f>350517.44-F22-H22-J22-L22-N22-P22-R22-T22-V22</f>
        <v>36421.549999999959</v>
      </c>
      <c r="Y22" s="41"/>
      <c r="Z22" s="18">
        <f>387119.14-F22-H22-J22-L22-N22-P22-R22-T22-V22-X22</f>
        <v>36601.700000000012</v>
      </c>
      <c r="AA22" s="41"/>
      <c r="AB22" s="18"/>
      <c r="AC22" s="21"/>
      <c r="AD22" s="15">
        <f t="shared" si="0"/>
        <v>387119.13999999996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0</v>
      </c>
      <c r="G23" s="19"/>
      <c r="H23" s="18">
        <v>97225.51</v>
      </c>
      <c r="I23" s="19"/>
      <c r="J23" s="18">
        <f>177782.35-H23</f>
        <v>80556.840000000011</v>
      </c>
      <c r="K23" s="19"/>
      <c r="L23" s="18">
        <f>234420.91-H23-J23</f>
        <v>56638.560000000012</v>
      </c>
      <c r="M23" s="19"/>
      <c r="N23" s="18">
        <f>345542.51-F23-H23-J23-L23</f>
        <v>111121.59999999996</v>
      </c>
      <c r="O23" s="19"/>
      <c r="P23" s="18">
        <f>414506.03-F23-H23-J23-L23-N23</f>
        <v>68963.520000000033</v>
      </c>
      <c r="Q23" s="19"/>
      <c r="R23" s="18">
        <f>477324.12-F23-H23-J23-L23-N23-P23</f>
        <v>62818.089999999953</v>
      </c>
      <c r="S23" s="19"/>
      <c r="T23" s="18">
        <f>536309.58-H23-J23-L23-N23-P23-R23</f>
        <v>58985.459999999963</v>
      </c>
      <c r="U23" s="21"/>
      <c r="V23" s="18">
        <f>612862.34-H23-J23-L23-N23-P23-R23-T23</f>
        <v>76552.760000000009</v>
      </c>
      <c r="W23" s="21"/>
      <c r="X23" s="18">
        <f>689466.32-H23-J23-L23-N23-P23-R23-T23-V23</f>
        <v>76603.979999999981</v>
      </c>
      <c r="Y23" s="41"/>
      <c r="Z23" s="18">
        <f>853911.55-H23-J23-L23-N23-P23-R23-T23-V23-X23</f>
        <v>164445.2300000001</v>
      </c>
      <c r="AA23" s="41"/>
      <c r="AB23" s="18"/>
      <c r="AC23" s="21"/>
      <c r="AD23" s="15">
        <f t="shared" si="0"/>
        <v>853911.55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1740.31</v>
      </c>
      <c r="G24" s="19"/>
      <c r="H24" s="18">
        <f>10634.05-F24</f>
        <v>8893.74</v>
      </c>
      <c r="I24" s="19"/>
      <c r="J24" s="18">
        <f>12073.84-F24-H24</f>
        <v>1439.7900000000009</v>
      </c>
      <c r="K24" s="19"/>
      <c r="L24" s="18">
        <f>12073.84-F24-H24-J24</f>
        <v>0</v>
      </c>
      <c r="M24" s="19"/>
      <c r="N24" s="18">
        <f>12081.84-F24-H24-J24-L24</f>
        <v>8</v>
      </c>
      <c r="O24" s="19"/>
      <c r="P24" s="18">
        <f>12081.84-F24-H24-J24-L24-N24</f>
        <v>0</v>
      </c>
      <c r="Q24" s="19"/>
      <c r="R24" s="18">
        <f>12081.84-F24-H24-J24-L24-N24-P24</f>
        <v>0</v>
      </c>
      <c r="S24" s="19"/>
      <c r="T24" s="18">
        <f>25924.84-F24-H24-J24-N24</f>
        <v>13842.999999999998</v>
      </c>
      <c r="U24" s="21"/>
      <c r="V24" s="18">
        <f>25924.84-F24-H24-J24-N24-T24</f>
        <v>0</v>
      </c>
      <c r="W24" s="21"/>
      <c r="X24" s="18">
        <f>31412.91-F24-H24-J24-N24-T24</f>
        <v>5488.0700000000015</v>
      </c>
      <c r="Y24" s="41"/>
      <c r="Z24" s="18">
        <f>25924.84-F24-H24-J24-N24-T24-X24</f>
        <v>-5488.0700000000015</v>
      </c>
      <c r="AA24" s="41"/>
      <c r="AB24" s="18"/>
      <c r="AC24" s="21"/>
      <c r="AD24" s="15">
        <f t="shared" si="0"/>
        <v>25924.839999999997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230.32</v>
      </c>
      <c r="G25" s="19"/>
      <c r="H25" s="18">
        <f>933.58-F25</f>
        <v>703.26</v>
      </c>
      <c r="I25" s="19"/>
      <c r="J25" s="18">
        <f>5178.08-F25-H25</f>
        <v>4244.5</v>
      </c>
      <c r="K25" s="19"/>
      <c r="L25" s="18">
        <f>5434.29-F25-H25-J25</f>
        <v>256.21000000000004</v>
      </c>
      <c r="M25" s="19"/>
      <c r="N25" s="20">
        <f>6731.99-F25-H25-J25-L25</f>
        <v>1297.6999999999998</v>
      </c>
      <c r="O25" s="19"/>
      <c r="P25" s="20">
        <f>27491.87-F25-H25-J25-L25-N25</f>
        <v>20759.88</v>
      </c>
      <c r="Q25" s="19"/>
      <c r="R25" s="20">
        <f>27994.31-F25-H25-J25-L25-N25-P25</f>
        <v>502.44000000000233</v>
      </c>
      <c r="S25" s="19"/>
      <c r="T25" s="20">
        <f>33763.24-F25-H25-J25-L25-N25-P25-R25</f>
        <v>5768.929999999993</v>
      </c>
      <c r="U25" s="21"/>
      <c r="V25" s="20">
        <f>34509.68-F25-H25-J25-L25-N25-P25-R25-T25</f>
        <v>746.44000000000233</v>
      </c>
      <c r="W25" s="21"/>
      <c r="X25" s="20">
        <f>35252.61-F25-H25-J25-L25-N25-P25-R25-T25-V25</f>
        <v>742.93000000000029</v>
      </c>
      <c r="Y25" s="41"/>
      <c r="Z25" s="18">
        <f>35740.31-F25-H25-J25-L25-N25-P25-R25-T25-V25-X25</f>
        <v>487.69999999999709</v>
      </c>
      <c r="AA25" s="41"/>
      <c r="AB25" s="18"/>
      <c r="AC25" s="21"/>
      <c r="AD25" s="15">
        <f>F25+H25+J25+L25+N25+P25+R25+T25+V25+X25+Z25+AB25</f>
        <v>35740.31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>
        <v>0</v>
      </c>
      <c r="M26" s="19"/>
      <c r="N26" s="18">
        <v>0</v>
      </c>
      <c r="O26" s="19"/>
      <c r="P26" s="18">
        <v>0</v>
      </c>
      <c r="Q26" s="19"/>
      <c r="R26" s="18">
        <v>0</v>
      </c>
      <c r="S26" s="19"/>
      <c r="T26" s="18">
        <v>0</v>
      </c>
      <c r="U26" s="21"/>
      <c r="V26" s="18">
        <v>0</v>
      </c>
      <c r="W26" s="21"/>
      <c r="X26" s="18">
        <v>0</v>
      </c>
      <c r="Y26" s="41"/>
      <c r="Z26" s="18">
        <v>0</v>
      </c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7" t="s">
        <v>31</v>
      </c>
      <c r="C27" s="57"/>
      <c r="D27" s="57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2889.62</v>
      </c>
      <c r="K27" s="40"/>
      <c r="L27" s="39">
        <f>L28</f>
        <v>0</v>
      </c>
      <c r="M27" s="40"/>
      <c r="N27" s="39">
        <f>N28</f>
        <v>6366.0099999999993</v>
      </c>
      <c r="O27" s="40"/>
      <c r="P27" s="39">
        <f>P28</f>
        <v>5248.88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104182.70000000001</v>
      </c>
      <c r="W27" s="40"/>
      <c r="X27" s="39">
        <f>X28</f>
        <v>25999.999999999971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144687.20999999996</v>
      </c>
      <c r="AF27" s="5"/>
      <c r="AI27" s="5"/>
    </row>
    <row r="28" spans="2:36" s="4" customFormat="1" ht="20.100000000000001" customHeight="1" x14ac:dyDescent="0.2">
      <c r="B28" s="33"/>
      <c r="C28" s="54" t="s">
        <v>32</v>
      </c>
      <c r="D28" s="54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2889.62</v>
      </c>
      <c r="K28" s="23"/>
      <c r="L28" s="27">
        <f>L29+L30</f>
        <v>0</v>
      </c>
      <c r="M28" s="23"/>
      <c r="N28" s="27">
        <f>N29+N30</f>
        <v>6366.0099999999993</v>
      </c>
      <c r="O28" s="23"/>
      <c r="P28" s="27">
        <f>P29+P30</f>
        <v>5248.88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104182.70000000001</v>
      </c>
      <c r="W28" s="23"/>
      <c r="X28" s="27">
        <f>X30</f>
        <v>25999.999999999971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144687.20999999996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>
        <v>0</v>
      </c>
      <c r="M29" s="19"/>
      <c r="N29" s="18">
        <v>0</v>
      </c>
      <c r="O29" s="19"/>
      <c r="P29" s="18">
        <v>0</v>
      </c>
      <c r="Q29" s="19"/>
      <c r="R29" s="18">
        <v>0</v>
      </c>
      <c r="S29" s="19"/>
      <c r="T29" s="18">
        <v>0</v>
      </c>
      <c r="U29" s="21"/>
      <c r="V29" s="18">
        <v>0</v>
      </c>
      <c r="W29" s="21"/>
      <c r="X29" s="18">
        <v>0</v>
      </c>
      <c r="Y29" s="41"/>
      <c r="Z29" s="18">
        <v>0</v>
      </c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2889.62</v>
      </c>
      <c r="K30" s="19"/>
      <c r="L30" s="18">
        <f>2889.62-J30</f>
        <v>0</v>
      </c>
      <c r="M30" s="19"/>
      <c r="N30" s="20">
        <f>9255.63-J30</f>
        <v>6366.0099999999993</v>
      </c>
      <c r="O30" s="19"/>
      <c r="P30" s="20">
        <f>14504.51-J30-N30</f>
        <v>5248.88</v>
      </c>
      <c r="Q30" s="19"/>
      <c r="R30" s="20">
        <f>14504.51-J30-N30-P30</f>
        <v>0</v>
      </c>
      <c r="S30" s="19"/>
      <c r="T30" s="20">
        <f>14504.51-J30-N30-P30</f>
        <v>0</v>
      </c>
      <c r="U30" s="21"/>
      <c r="V30" s="20">
        <f>118687.21-J30-N30-P30</f>
        <v>104182.70000000001</v>
      </c>
      <c r="W30" s="21"/>
      <c r="X30" s="20">
        <f>144687.21-J30-N30-P30-V30</f>
        <v>25999.999999999971</v>
      </c>
      <c r="Y30" s="41"/>
      <c r="Z30" s="18">
        <f>144687.21-J30-N30-P30-V30-X30</f>
        <v>0</v>
      </c>
      <c r="AA30" s="41"/>
      <c r="AB30" s="18"/>
      <c r="AC30" s="21"/>
      <c r="AD30" s="15">
        <f>F30+H30+J30+L30+N30+P30+R30+T30+V30+X30+Z30+AB30</f>
        <v>144687.20999999996</v>
      </c>
      <c r="AF30" s="2"/>
      <c r="AI30" s="2"/>
    </row>
    <row r="31" spans="2:36" s="7" customFormat="1" ht="20.100000000000001" customHeight="1" x14ac:dyDescent="0.25">
      <c r="B31" s="50" t="s">
        <v>36</v>
      </c>
      <c r="C31" s="51"/>
      <c r="D31" s="52"/>
      <c r="E31" s="36"/>
      <c r="F31" s="35">
        <f>F27+F6</f>
        <v>5918448.04</v>
      </c>
      <c r="G31" s="37"/>
      <c r="H31" s="35">
        <f>H27+H6</f>
        <v>6616155.0499999998</v>
      </c>
      <c r="I31" s="37"/>
      <c r="J31" s="35">
        <f>J27+J6</f>
        <v>8255317.5599999996</v>
      </c>
      <c r="K31" s="37"/>
      <c r="L31" s="35">
        <f>L27+L6</f>
        <v>7471135.5800000001</v>
      </c>
      <c r="M31" s="37"/>
      <c r="N31" s="35">
        <f>N27+N6</f>
        <v>7816465.5499999989</v>
      </c>
      <c r="O31" s="37"/>
      <c r="P31" s="35">
        <f>P27+P6</f>
        <v>7832120.0100000026</v>
      </c>
      <c r="Q31" s="37"/>
      <c r="R31" s="35">
        <f>R27+R6</f>
        <v>7455263.009999997</v>
      </c>
      <c r="S31" s="37"/>
      <c r="T31" s="35">
        <f>T27+T6</f>
        <v>14436313.679999998</v>
      </c>
      <c r="U31" s="37"/>
      <c r="V31" s="35">
        <f>V27+V6</f>
        <v>9744089.1199999973</v>
      </c>
      <c r="W31" s="37"/>
      <c r="X31" s="35">
        <f>X27+X6</f>
        <v>9410831.7000000048</v>
      </c>
      <c r="Y31" s="41"/>
      <c r="Z31" s="35">
        <f>Z27+Z6</f>
        <v>10387783.933000002</v>
      </c>
      <c r="AA31" s="48"/>
      <c r="AB31" s="35">
        <f>AB27+AB6</f>
        <v>0</v>
      </c>
      <c r="AC31" s="37"/>
      <c r="AD31" s="35">
        <f>AD6+AD27</f>
        <v>95343923.232999995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L33" s="49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2023-02-01T20:31:05Z</dcterms:modified>
</cp:coreProperties>
</file>