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/>
  </bookViews>
  <sheets>
    <sheet name="2022" sheetId="5" r:id="rId1"/>
  </sheets>
  <definedNames>
    <definedName name="_xlnm.Print_Area" localSheetId="0">'2022'!$B$1:$AD$34</definedName>
  </definedNames>
  <calcPr calcId="152511"/>
</workbook>
</file>

<file path=xl/calcChain.xml><?xml version="1.0" encoding="utf-8"?>
<calcChain xmlns="http://schemas.openxmlformats.org/spreadsheetml/2006/main">
  <c r="P30" i="5" l="1"/>
  <c r="AD30" i="5"/>
  <c r="AD28" i="5"/>
  <c r="AD27" i="5"/>
  <c r="P25" i="5"/>
  <c r="P24" i="5"/>
  <c r="AD24" i="5"/>
  <c r="P23" i="5"/>
  <c r="AD23" i="5"/>
  <c r="P22" i="5"/>
  <c r="AD22" i="5"/>
  <c r="P21" i="5"/>
  <c r="P20" i="5"/>
  <c r="P19" i="5"/>
  <c r="P18" i="5"/>
  <c r="AD18" i="5"/>
  <c r="P17" i="5"/>
  <c r="AD17" i="5"/>
  <c r="P16" i="5"/>
  <c r="P15" i="5"/>
  <c r="AD15" i="5"/>
  <c r="P14" i="5"/>
  <c r="P13" i="5"/>
  <c r="AD13" i="5"/>
  <c r="P11" i="5"/>
  <c r="P10" i="5"/>
  <c r="P7" i="5"/>
  <c r="P9" i="5"/>
  <c r="AD9" i="5"/>
  <c r="P8" i="5"/>
  <c r="AD8" i="5"/>
  <c r="N30" i="5"/>
  <c r="N28" i="5"/>
  <c r="N27" i="5"/>
  <c r="N25" i="5"/>
  <c r="N24" i="5"/>
  <c r="N23" i="5"/>
  <c r="N22" i="5"/>
  <c r="N21" i="5"/>
  <c r="AD21" i="5"/>
  <c r="N20" i="5"/>
  <c r="N19" i="5"/>
  <c r="AD19" i="5"/>
  <c r="N18" i="5"/>
  <c r="N17" i="5"/>
  <c r="N16" i="5"/>
  <c r="N15" i="5"/>
  <c r="N14" i="5"/>
  <c r="AD14" i="5"/>
  <c r="N13" i="5"/>
  <c r="N11" i="5"/>
  <c r="AD11" i="5"/>
  <c r="N10" i="5"/>
  <c r="N9" i="5"/>
  <c r="N8" i="5"/>
  <c r="L30" i="5"/>
  <c r="L25" i="5"/>
  <c r="AD25" i="5"/>
  <c r="L24" i="5"/>
  <c r="L23" i="5"/>
  <c r="L22" i="5"/>
  <c r="L21" i="5"/>
  <c r="L20" i="5"/>
  <c r="AD20" i="5"/>
  <c r="L19" i="5"/>
  <c r="L18" i="5"/>
  <c r="L17" i="5"/>
  <c r="L16" i="5"/>
  <c r="L15" i="5"/>
  <c r="L14" i="5"/>
  <c r="L13" i="5"/>
  <c r="L11" i="5"/>
  <c r="L10" i="5"/>
  <c r="L9" i="5"/>
  <c r="L8" i="5"/>
  <c r="J7" i="5"/>
  <c r="J6" i="5"/>
  <c r="L28" i="5"/>
  <c r="L27" i="5"/>
  <c r="J25" i="5"/>
  <c r="J24" i="5"/>
  <c r="J23" i="5"/>
  <c r="J22" i="5"/>
  <c r="J21" i="5"/>
  <c r="J20" i="5"/>
  <c r="J19" i="5"/>
  <c r="J18" i="5"/>
  <c r="J17" i="5"/>
  <c r="J16" i="5"/>
  <c r="AD16" i="5"/>
  <c r="J15" i="5"/>
  <c r="J14" i="5"/>
  <c r="J13" i="5"/>
  <c r="J11" i="5"/>
  <c r="J10" i="5"/>
  <c r="J9" i="5"/>
  <c r="J8" i="5"/>
  <c r="H25" i="5"/>
  <c r="H24" i="5"/>
  <c r="H22" i="5"/>
  <c r="H20" i="5"/>
  <c r="H18" i="5"/>
  <c r="H17" i="5"/>
  <c r="H16" i="5"/>
  <c r="H15" i="5"/>
  <c r="H14" i="5"/>
  <c r="H11" i="5"/>
  <c r="H10" i="5"/>
  <c r="H9" i="5"/>
  <c r="H8" i="5"/>
  <c r="V28" i="5"/>
  <c r="V27" i="5"/>
  <c r="V7" i="5"/>
  <c r="T28" i="5"/>
  <c r="T27" i="5"/>
  <c r="Z28" i="5"/>
  <c r="Z27" i="5"/>
  <c r="AD29" i="5"/>
  <c r="AB28" i="5"/>
  <c r="AB27" i="5"/>
  <c r="F7" i="5"/>
  <c r="F12" i="5"/>
  <c r="H28" i="5"/>
  <c r="H27" i="5"/>
  <c r="F28" i="5"/>
  <c r="F27" i="5"/>
  <c r="AD26" i="5"/>
  <c r="J28" i="5"/>
  <c r="J27" i="5"/>
  <c r="P28" i="5"/>
  <c r="P27" i="5"/>
  <c r="R28" i="5"/>
  <c r="R27" i="5"/>
  <c r="R7" i="5"/>
  <c r="T7" i="5"/>
  <c r="T6" i="5"/>
  <c r="V12" i="5"/>
  <c r="T12" i="5"/>
  <c r="R12" i="5"/>
  <c r="X28" i="5"/>
  <c r="X27" i="5"/>
  <c r="X12" i="5"/>
  <c r="X7" i="5"/>
  <c r="X6" i="5"/>
  <c r="Z12" i="5"/>
  <c r="Z7" i="5"/>
  <c r="Z6" i="5"/>
  <c r="AB12" i="5"/>
  <c r="AB7" i="5"/>
  <c r="AB6" i="5"/>
  <c r="AB31" i="5"/>
  <c r="F6" i="5"/>
  <c r="F31" i="5"/>
  <c r="Z31" i="5"/>
  <c r="T31" i="5"/>
  <c r="X31" i="5"/>
  <c r="R6" i="5"/>
  <c r="R31" i="5"/>
  <c r="V6" i="5"/>
  <c r="V31" i="5"/>
  <c r="H12" i="5"/>
  <c r="H7" i="5"/>
  <c r="H6" i="5"/>
  <c r="H31" i="5"/>
  <c r="J12" i="5"/>
  <c r="J31" i="5"/>
  <c r="L12" i="5"/>
  <c r="L7" i="5"/>
  <c r="L6" i="5"/>
  <c r="L31" i="5"/>
  <c r="N12" i="5"/>
  <c r="N6" i="5"/>
  <c r="N31" i="5"/>
  <c r="N7" i="5"/>
  <c r="P12" i="5"/>
  <c r="P6" i="5"/>
  <c r="P31" i="5"/>
  <c r="AD10" i="5"/>
  <c r="AD7" i="5"/>
  <c r="AD12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<sst xmlns="http://schemas.openxmlformats.org/spreadsheetml/2006/main" count="45" uniqueCount="45">
  <si>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</si>
  <si>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</si>
  <si>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</si>
  <si>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</si>
  <si>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</si>
  <si>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</si>
  <si>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</si>
  <si>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</si>
  <si>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</si>
  <si>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</si>
  <si>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</si>
  <si>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</si>
  <si>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</si>
  <si>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</si>
  <si>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</si>
  <si>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</si>
  <si>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</si>
  <si>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</si>
  <si>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</si>
  <si>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</si>
  <si>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</si>
  <si>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</si>
  <si>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</si>
  <si>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</si>
  <si>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</si>
  <si>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</si>
  <si>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</si>
  <si>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</si>
  <si>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</si>
  <si>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</si>
  <si>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</si>
  <si>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</si>
  <si>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</si>
  <si>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</si>
  <si>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</si>
  <si>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</si>
  <si>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</si>
  <si>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</si>
  <si>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</si>
  <si>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</si>
  <si>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</si>
  <si>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</si>
  <si>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</si>
  <si>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2022</t>
  </si>
  <si>
    <t>Data Atualizacao :  01/01/2022 a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</si>
</sst>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2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4" fontId="0" fillId="0" borderId="0" xfId="0" applyNumberFormat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18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7900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P7" sqref="P7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2.140625" customWidth="1"/>
    <col min="14" max="14" width="15.7109375" customWidth="1"/>
    <col min="15" max="15" width="2.140625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2:35" ht="19.5" customHeight="1" x14ac:dyDescent="0.2">
      <c r="B2" s="60" t="s">
        <v>42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2:35" ht="15" customHeight="1" x14ac:dyDescent="0.2">
      <c r="B3" s="66" t="s">
        <v>44</v>
      </c>
      <c r="C3" s="67"/>
      <c r="D3" s="68"/>
      <c r="E3" s="1"/>
      <c r="F3" s="61" t="s">
        <v>0</v>
      </c>
      <c r="G3" s="42"/>
      <c r="H3" s="61" t="s">
        <v>1</v>
      </c>
      <c r="I3" s="42"/>
      <c r="J3" s="61" t="s">
        <v>2</v>
      </c>
      <c r="K3" s="42"/>
      <c r="L3" s="61" t="s">
        <v>3</v>
      </c>
      <c r="M3" s="42"/>
      <c r="N3" s="61" t="s">
        <v>4</v>
      </c>
      <c r="O3" s="42"/>
      <c r="P3" s="61" t="s">
        <v>5</v>
      </c>
      <c r="Q3" s="42"/>
      <c r="R3" s="61" t="s">
        <v>6</v>
      </c>
      <c r="S3" s="42"/>
      <c r="T3" s="53" t="s">
        <v>7</v>
      </c>
      <c r="U3" s="43"/>
      <c r="V3" s="53" t="s">
        <v>8</v>
      </c>
      <c r="W3" s="44"/>
      <c r="X3" s="53" t="s">
        <v>9</v>
      </c>
      <c r="Y3" s="43"/>
      <c r="Z3" s="64" t="s">
        <v>10</v>
      </c>
      <c r="AA3" s="43"/>
      <c r="AB3" s="64" t="s">
        <v>11</v>
      </c>
      <c r="AC3" s="43"/>
      <c r="AD3" s="65" t="s">
        <v>12</v>
      </c>
      <c r="AF3" s="2"/>
      <c r="AI3" s="2"/>
    </row>
    <row r="4" spans="2:35" x14ac:dyDescent="0.2">
      <c r="B4" s="69"/>
      <c r="C4" s="70"/>
      <c r="D4" s="71"/>
      <c r="E4" s="1"/>
      <c r="F4" s="62"/>
      <c r="G4" s="9"/>
      <c r="H4" s="62"/>
      <c r="I4" s="9"/>
      <c r="J4" s="62"/>
      <c r="K4" s="9"/>
      <c r="L4" s="62"/>
      <c r="M4" s="10"/>
      <c r="N4" s="62"/>
      <c r="O4" s="9"/>
      <c r="P4" s="62"/>
      <c r="Q4" s="9"/>
      <c r="R4" s="62"/>
      <c r="S4" s="9"/>
      <c r="T4" s="53"/>
      <c r="U4" s="3"/>
      <c r="V4" s="53"/>
      <c r="W4" s="11"/>
      <c r="X4" s="53"/>
      <c r="Y4" s="8"/>
      <c r="Z4" s="64"/>
      <c r="AA4" s="3"/>
      <c r="AB4" s="64"/>
      <c r="AC4" s="3"/>
      <c r="AD4" s="65"/>
      <c r="AF4" s="2"/>
      <c r="AI4" s="2"/>
    </row>
    <row r="5" spans="2:35" ht="20.100000000000001" customHeight="1" x14ac:dyDescent="0.2">
      <c r="B5" s="55" t="s">
        <v>13</v>
      </c>
      <c r="C5" s="55"/>
      <c r="D5" s="55"/>
      <c r="E5" s="1"/>
      <c r="F5" s="63"/>
      <c r="G5" s="10"/>
      <c r="H5" s="63"/>
      <c r="I5" s="10"/>
      <c r="J5" s="63"/>
      <c r="K5" s="10"/>
      <c r="L5" s="63"/>
      <c r="M5" s="10"/>
      <c r="N5" s="63"/>
      <c r="O5" s="10"/>
      <c r="P5" s="63"/>
      <c r="Q5" s="10"/>
      <c r="R5" s="63"/>
      <c r="S5" s="10"/>
      <c r="T5" s="53"/>
      <c r="U5" s="8"/>
      <c r="V5" s="53"/>
      <c r="W5" s="12"/>
      <c r="X5" s="53"/>
      <c r="Y5" s="8"/>
      <c r="Z5" s="64"/>
      <c r="AA5" s="8"/>
      <c r="AB5" s="64"/>
      <c r="AC5" s="8"/>
      <c r="AD5" s="65"/>
      <c r="AF5" s="2"/>
      <c r="AI5" s="2"/>
    </row>
    <row r="6" spans="2:35" ht="20.100000000000001" customHeight="1" x14ac:dyDescent="0.25">
      <c r="B6" s="59" t="s">
        <v>14</v>
      </c>
      <c r="C6" s="59"/>
      <c r="D6" s="59"/>
      <c r="E6" s="1"/>
      <c r="F6" s="29">
        <f>F7+F12</f>
        <v>5918448.04</v>
      </c>
      <c r="G6" s="13"/>
      <c r="H6" s="29">
        <f>H7+H12</f>
        <v>6616155.0499999998</v>
      </c>
      <c r="I6" s="13"/>
      <c r="J6" s="29">
        <f>J7+J12</f>
        <v>8252427.9399999995</v>
      </c>
      <c r="K6" s="13"/>
      <c r="L6" s="29">
        <f>L7+L12</f>
        <v>7471135.5800000001</v>
      </c>
      <c r="M6" s="13"/>
      <c r="N6" s="29">
        <f>N7+N12</f>
        <v>7810099.5399999991</v>
      </c>
      <c r="O6" s="13"/>
      <c r="P6" s="29">
        <f>P7+P12</f>
        <v>7826871.1300000027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43895137.280000001</v>
      </c>
      <c r="AF6" s="2"/>
      <c r="AI6" s="2"/>
    </row>
    <row r="7" spans="2:35" ht="20.100000000000001" customHeight="1" x14ac:dyDescent="0.2">
      <c r="B7" s="28"/>
      <c r="C7" s="54" t="s">
        <v>15</v>
      </c>
      <c r="D7" s="54"/>
      <c r="E7" s="1"/>
      <c r="F7" s="27">
        <f>F8+F9+F10+F11</f>
        <v>5488380.8899999997</v>
      </c>
      <c r="G7" s="14"/>
      <c r="H7" s="27">
        <f>H8+H9+H10+H11</f>
        <v>4772987.62</v>
      </c>
      <c r="I7" s="14"/>
      <c r="J7" s="27">
        <f>J8+J9+J10+J11</f>
        <v>5146835.3599999994</v>
      </c>
      <c r="K7" s="14"/>
      <c r="L7" s="27">
        <f>L8+L9+L10+L11</f>
        <v>5154932.5</v>
      </c>
      <c r="M7" s="14"/>
      <c r="N7" s="27">
        <f>N8+N9+N10+N11</f>
        <v>5171575.209999999</v>
      </c>
      <c r="O7" s="14"/>
      <c r="P7" s="27">
        <f>P8+P9+P10+P11</f>
        <v>5602025.9800000032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31336737.560000002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26649.61</v>
      </c>
      <c r="G8" s="19"/>
      <c r="H8" s="18">
        <f>40390.09-F8</f>
        <v>13740.479999999996</v>
      </c>
      <c r="I8" s="19"/>
      <c r="J8" s="18">
        <f>58560.95-F8-H8</f>
        <v>18170.86</v>
      </c>
      <c r="K8" s="19"/>
      <c r="L8" s="18">
        <f>76349.48-F8-H8-J8</f>
        <v>17788.53</v>
      </c>
      <c r="M8" s="19"/>
      <c r="N8" s="20">
        <f>95053.11-F8-H8-J8-L8</f>
        <v>18703.630000000005</v>
      </c>
      <c r="O8" s="19"/>
      <c r="P8" s="20">
        <f>113365.36-F8-H8-J8-L8-N8</f>
        <v>18312.25</v>
      </c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113365.36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4110146.92</v>
      </c>
      <c r="G9" s="19"/>
      <c r="H9" s="18">
        <f>7796161.99-F9</f>
        <v>3686015.0700000003</v>
      </c>
      <c r="I9" s="19"/>
      <c r="J9" s="18">
        <f>11730966.78-F9-H9</f>
        <v>3934804.7899999991</v>
      </c>
      <c r="K9" s="19"/>
      <c r="L9" s="18">
        <f>15682524.48-F9-H9-J9</f>
        <v>3951557.7000000011</v>
      </c>
      <c r="M9" s="19"/>
      <c r="N9" s="20">
        <f>19639923.72-F9-H9-J9-L9</f>
        <v>3957399.2399999984</v>
      </c>
      <c r="O9" s="19"/>
      <c r="P9" s="20">
        <f>24020380.98-F9-H9-J9-L9-N9</f>
        <v>4380457.2600000035</v>
      </c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24020380.980000004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1349057.18</v>
      </c>
      <c r="G10" s="19"/>
      <c r="H10" s="18">
        <f>2422097.55-F10</f>
        <v>1073040.3699999999</v>
      </c>
      <c r="I10" s="19"/>
      <c r="J10" s="18">
        <f>3615138.38-F10-H10</f>
        <v>1193040.8300000003</v>
      </c>
      <c r="K10" s="19"/>
      <c r="L10" s="18">
        <f>4795501.26-F10-H10-J10</f>
        <v>1180362.8799999997</v>
      </c>
      <c r="M10" s="19"/>
      <c r="N10" s="20">
        <f>5978750.66-F10-H10-J10-L10</f>
        <v>1183249.4000000006</v>
      </c>
      <c r="O10" s="19"/>
      <c r="P10" s="20">
        <f>7167489.91-F10-H10-J10-L10-N10</f>
        <v>1188739.2499999998</v>
      </c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7167489.9100000001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2527.1799999999998</v>
      </c>
      <c r="G11" s="19"/>
      <c r="H11" s="18">
        <f>2718.88-F11</f>
        <v>191.70000000000027</v>
      </c>
      <c r="I11" s="19"/>
      <c r="J11" s="18">
        <f>3537.76-F11-H11</f>
        <v>818.88000000000011</v>
      </c>
      <c r="K11" s="19"/>
      <c r="L11" s="18">
        <f>8761.15-F11-H11-J11</f>
        <v>5223.3899999999985</v>
      </c>
      <c r="M11" s="19"/>
      <c r="N11" s="20">
        <f>20984.09-F11-H11-J11-L11</f>
        <v>12222.939999999999</v>
      </c>
      <c r="O11" s="19"/>
      <c r="P11" s="20">
        <f>35501.31-F11-H11-J11-L11-N11</f>
        <v>14517.220000000001</v>
      </c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35501.31</v>
      </c>
      <c r="AF11" s="2"/>
      <c r="AI11" s="2"/>
    </row>
    <row r="12" spans="2:35" s="4" customFormat="1" ht="20.100000000000001" customHeight="1" x14ac:dyDescent="0.2">
      <c r="B12" s="28"/>
      <c r="C12" s="56" t="s">
        <v>18</v>
      </c>
      <c r="D12" s="56"/>
      <c r="E12" s="22"/>
      <c r="F12" s="32">
        <f>SUM(F13:F26)</f>
        <v>430067.15</v>
      </c>
      <c r="G12" s="23"/>
      <c r="H12" s="32">
        <f>SUM(H13:H26)</f>
        <v>1843167.43</v>
      </c>
      <c r="I12" s="23"/>
      <c r="J12" s="32">
        <f>SUM(J13:J26)</f>
        <v>3105592.58</v>
      </c>
      <c r="K12" s="23"/>
      <c r="L12" s="32">
        <f>SUM(L13:L26)</f>
        <v>2316203.0800000005</v>
      </c>
      <c r="M12" s="23"/>
      <c r="N12" s="32">
        <f>SUM(N13:N26)</f>
        <v>2638524.3300000005</v>
      </c>
      <c r="O12" s="23"/>
      <c r="P12" s="32">
        <f>SUM(P13:P26)</f>
        <v>2224845.15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12558399.719999999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22247.53</v>
      </c>
      <c r="I13" s="19"/>
      <c r="J13" s="18">
        <f>693873.01-H13</f>
        <v>671625.48</v>
      </c>
      <c r="K13" s="19"/>
      <c r="L13" s="18">
        <f>718671.59-H13-J13</f>
        <v>24798.579999999958</v>
      </c>
      <c r="M13" s="19"/>
      <c r="N13" s="18">
        <f>718671.59-F13-H13-J13-L13</f>
        <v>0</v>
      </c>
      <c r="O13" s="19"/>
      <c r="P13" s="18">
        <f>718215.18-F13-H13-J13-L13-N13</f>
        <v>-456.40999999991618</v>
      </c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718215.18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18912.759999999998</v>
      </c>
      <c r="G14" s="19"/>
      <c r="H14" s="18">
        <f>36795.92-F14</f>
        <v>17883.16</v>
      </c>
      <c r="I14" s="19"/>
      <c r="J14" s="18">
        <f>56200.96-F14-H14</f>
        <v>19405.039999999997</v>
      </c>
      <c r="K14" s="19"/>
      <c r="L14" s="18">
        <f>76858.93-F14-H14-J14</f>
        <v>20657.969999999998</v>
      </c>
      <c r="M14" s="19"/>
      <c r="N14" s="20">
        <f>97508.92-F14-H14-J14-L14</f>
        <v>20649.990000000009</v>
      </c>
      <c r="O14" s="19"/>
      <c r="P14" s="20">
        <f>118743.46-F14-H14-J14-L14-N14</f>
        <v>21234.540000000005</v>
      </c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118743.46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1640.08</v>
      </c>
      <c r="G15" s="19"/>
      <c r="H15" s="18">
        <f>60432.71-F15</f>
        <v>58792.63</v>
      </c>
      <c r="I15" s="19"/>
      <c r="J15" s="18">
        <f>136720.42-F15-H15</f>
        <v>76287.710000000021</v>
      </c>
      <c r="K15" s="19"/>
      <c r="L15" s="18">
        <f>218494.2-F15-H15-J15</f>
        <v>81773.78</v>
      </c>
      <c r="M15" s="19"/>
      <c r="N15" s="20">
        <f>317004.48-F15-H15-J15-L15</f>
        <v>98510.279999999941</v>
      </c>
      <c r="O15" s="19"/>
      <c r="P15" s="20">
        <f>426371.95-F15-H15-J15-L15-N15</f>
        <v>109367.47000000003</v>
      </c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426371.95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f>25590.62-F16</f>
        <v>25590.62</v>
      </c>
      <c r="I16" s="19"/>
      <c r="J16" s="18">
        <f>53081.06-H16</f>
        <v>27490.44</v>
      </c>
      <c r="K16" s="19"/>
      <c r="L16" s="18">
        <f>61577.34-H16-J16</f>
        <v>8496.2800000000025</v>
      </c>
      <c r="M16" s="19"/>
      <c r="N16" s="20">
        <f>84224.86-F16-H16-J16-L16</f>
        <v>22647.520000000004</v>
      </c>
      <c r="O16" s="19"/>
      <c r="P16" s="20">
        <f>106017.64-F16-H16-J16-L16-N16</f>
        <v>21792.78</v>
      </c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106017.64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7096.15</v>
      </c>
      <c r="G17" s="19"/>
      <c r="H17" s="18">
        <f>238883.84-F17</f>
        <v>231787.69</v>
      </c>
      <c r="I17" s="19"/>
      <c r="J17" s="18">
        <f>490386.66-F17-H17</f>
        <v>251502.81999999995</v>
      </c>
      <c r="K17" s="19"/>
      <c r="L17" s="18">
        <f>750017.13-F17-H17-J17</f>
        <v>259630.47000000003</v>
      </c>
      <c r="M17" s="19"/>
      <c r="N17" s="20">
        <f>1017575.53-F17-H17-J17-L17</f>
        <v>267558.39999999997</v>
      </c>
      <c r="O17" s="19"/>
      <c r="P17" s="20">
        <f>1273837.32-F17-H17-J17-L17-N17</f>
        <v>256261.79000000027</v>
      </c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1273837.32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>
        <f>3048.93-F18</f>
        <v>3048.93</v>
      </c>
      <c r="I18" s="19"/>
      <c r="J18" s="18">
        <f>6094.41-H18</f>
        <v>3045.48</v>
      </c>
      <c r="K18" s="19"/>
      <c r="L18" s="18">
        <f>9151.48-H18-J18</f>
        <v>3057.0699999999993</v>
      </c>
      <c r="M18" s="19"/>
      <c r="N18" s="18">
        <f>40422.98-F18-H18-J18-L18</f>
        <v>31271.5</v>
      </c>
      <c r="O18" s="19"/>
      <c r="P18" s="20">
        <f>62093.41-F18-H18-J18-L18-N18</f>
        <v>21670.43</v>
      </c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62093.409999999996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335695.87</v>
      </c>
      <c r="I19" s="19"/>
      <c r="J19" s="18">
        <f>683941.94-H19</f>
        <v>348246.06999999995</v>
      </c>
      <c r="K19" s="19"/>
      <c r="L19" s="18">
        <f>1027790.55-H19-J19</f>
        <v>343848.6100000001</v>
      </c>
      <c r="M19" s="19"/>
      <c r="N19" s="18">
        <f>1370387.4-F19-H19-J19-L19</f>
        <v>342596.84999999986</v>
      </c>
      <c r="O19" s="19"/>
      <c r="P19" s="18">
        <f>1712984.25-F19-H19-J19-L19-N19</f>
        <v>342596.85</v>
      </c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1712984.25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369951.59</v>
      </c>
      <c r="G20" s="19"/>
      <c r="H20" s="18">
        <f>1317890.51-F20</f>
        <v>947938.91999999993</v>
      </c>
      <c r="I20" s="19"/>
      <c r="J20" s="18">
        <f>2832843.78-F20-H20</f>
        <v>1514953.27</v>
      </c>
      <c r="K20" s="19"/>
      <c r="L20" s="18">
        <f>4039048.8-F20-H20-J20</f>
        <v>1206205.02</v>
      </c>
      <c r="M20" s="19"/>
      <c r="N20" s="20">
        <f>5313609.57-F20-H20-J20-L20</f>
        <v>1274560.7700000005</v>
      </c>
      <c r="O20" s="19"/>
      <c r="P20" s="20">
        <f>6565683.02-F20-H20-J20-L20-N20</f>
        <v>1252073.4499999993</v>
      </c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6565683.0199999996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v>61090.79</v>
      </c>
      <c r="I21" s="19"/>
      <c r="J21" s="18">
        <f>132250.25-H21</f>
        <v>71159.459999999992</v>
      </c>
      <c r="K21" s="19"/>
      <c r="L21" s="18">
        <f>407072.29-H21-J21</f>
        <v>274822.04000000004</v>
      </c>
      <c r="M21" s="19"/>
      <c r="N21" s="20">
        <f>839257.74-F21-H21-J21-L21</f>
        <v>432185.44999999995</v>
      </c>
      <c r="O21" s="19"/>
      <c r="P21" s="20">
        <f>913500.97-F21-H21-J21-L21-N21</f>
        <v>74243.229999999981</v>
      </c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913500.97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30495.94</v>
      </c>
      <c r="G22" s="19"/>
      <c r="H22" s="18">
        <f>62764.72-F22</f>
        <v>32268.780000000002</v>
      </c>
      <c r="I22" s="19"/>
      <c r="J22" s="18">
        <f>98400.4-F22-H22</f>
        <v>35635.679999999993</v>
      </c>
      <c r="K22" s="19"/>
      <c r="L22" s="18">
        <f>134418.89-F22-H22-J22</f>
        <v>36018.49000000002</v>
      </c>
      <c r="M22" s="19"/>
      <c r="N22" s="20">
        <f>170535.16-F22-H22-J22-L22</f>
        <v>36116.26999999999</v>
      </c>
      <c r="O22" s="19"/>
      <c r="P22" s="20">
        <f>206872.78-F22-H22-J22-L22-N22</f>
        <v>36337.619999999995</v>
      </c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206872.78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>
        <v>97225.51</v>
      </c>
      <c r="I23" s="19"/>
      <c r="J23" s="18">
        <f>177782.35-H23</f>
        <v>80556.840000000011</v>
      </c>
      <c r="K23" s="19"/>
      <c r="L23" s="18">
        <f>234420.91-H23-J23</f>
        <v>56638.560000000012</v>
      </c>
      <c r="M23" s="19"/>
      <c r="N23" s="18">
        <f>345542.51-F23-H23-J23-L23</f>
        <v>111121.59999999996</v>
      </c>
      <c r="O23" s="19"/>
      <c r="P23" s="18">
        <f>414506.03-F23-H23-J23-L23-N23</f>
        <v>68963.520000000033</v>
      </c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414506.03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1740.31</v>
      </c>
      <c r="G24" s="19"/>
      <c r="H24" s="18">
        <f>10634.05-F24</f>
        <v>8893.74</v>
      </c>
      <c r="I24" s="19"/>
      <c r="J24" s="18">
        <f>12073.84-F24-H24</f>
        <v>1439.7900000000009</v>
      </c>
      <c r="K24" s="19"/>
      <c r="L24" s="18">
        <f>12073.84-F24-H24-J24</f>
        <v>0</v>
      </c>
      <c r="M24" s="19"/>
      <c r="N24" s="18">
        <f>12081.84-F24-H24-J24-L24</f>
        <v>8</v>
      </c>
      <c r="O24" s="19"/>
      <c r="P24" s="18">
        <f>12081.84-F24-H24-J24-L24-N24</f>
        <v>0</v>
      </c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12081.84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230.32</v>
      </c>
      <c r="G25" s="19"/>
      <c r="H25" s="18">
        <f>933.58-F25</f>
        <v>703.26</v>
      </c>
      <c r="I25" s="19"/>
      <c r="J25" s="18">
        <f>5178.08-F25-H25</f>
        <v>4244.5</v>
      </c>
      <c r="K25" s="19"/>
      <c r="L25" s="18">
        <f>5434.29-F25-H25-J25</f>
        <v>256.21000000000004</v>
      </c>
      <c r="M25" s="19"/>
      <c r="N25" s="20">
        <f>6731.99-F25-H25-J25-L25</f>
        <v>1297.6999999999998</v>
      </c>
      <c r="O25" s="19"/>
      <c r="P25" s="20">
        <f>27491.87-F25-H25-J25-L25-N25</f>
        <v>20759.88</v>
      </c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27491.870000000003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>
        <v>0</v>
      </c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7" t="s">
        <v>31</v>
      </c>
      <c r="C27" s="57"/>
      <c r="D27" s="57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2889.62</v>
      </c>
      <c r="K27" s="40"/>
      <c r="L27" s="39">
        <f>L28</f>
        <v>0</v>
      </c>
      <c r="M27" s="40"/>
      <c r="N27" s="39">
        <f>N28</f>
        <v>6366.0099999999993</v>
      </c>
      <c r="O27" s="40"/>
      <c r="P27" s="39">
        <f>P28</f>
        <v>5248.88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14504.509999999998</v>
      </c>
      <c r="AF27" s="5"/>
      <c r="AI27" s="5"/>
    </row>
    <row r="28" spans="2:36" s="4" customFormat="1" ht="20.100000000000001" customHeight="1" x14ac:dyDescent="0.2">
      <c r="B28" s="33"/>
      <c r="C28" s="54" t="s">
        <v>32</v>
      </c>
      <c r="D28" s="54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2889.62</v>
      </c>
      <c r="K28" s="23"/>
      <c r="L28" s="27">
        <f>L29+L30</f>
        <v>0</v>
      </c>
      <c r="M28" s="23"/>
      <c r="N28" s="27">
        <f>N29+N30</f>
        <v>6366.0099999999993</v>
      </c>
      <c r="O28" s="23"/>
      <c r="P28" s="27">
        <f>P29+P30</f>
        <v>5248.88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14504.509999999998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>
        <v>0</v>
      </c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2889.62</v>
      </c>
      <c r="K30" s="19"/>
      <c r="L30" s="18">
        <f>2889.62-J30</f>
        <v>0</v>
      </c>
      <c r="M30" s="19"/>
      <c r="N30" s="20">
        <f>9255.63-J30</f>
        <v>6366.0099999999993</v>
      </c>
      <c r="O30" s="19"/>
      <c r="P30" s="20">
        <f>14504.51-J30-N30</f>
        <v>5248.88</v>
      </c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14504.509999999998</v>
      </c>
      <c r="AF30" s="2"/>
      <c r="AI30" s="2"/>
    </row>
    <row r="31" spans="2:36" s="7" customFormat="1" ht="20.100000000000001" customHeight="1" x14ac:dyDescent="0.25">
      <c r="B31" s="50" t="s">
        <v>36</v>
      </c>
      <c r="C31" s="51"/>
      <c r="D31" s="52"/>
      <c r="E31" s="36"/>
      <c r="F31" s="35">
        <f>F27+F6</f>
        <v>5918448.04</v>
      </c>
      <c r="G31" s="37"/>
      <c r="H31" s="35">
        <f>H27+H6</f>
        <v>6616155.0499999998</v>
      </c>
      <c r="I31" s="37"/>
      <c r="J31" s="35">
        <f>J27+J6</f>
        <v>8255317.5599999996</v>
      </c>
      <c r="K31" s="37"/>
      <c r="L31" s="35">
        <f>L27+L6</f>
        <v>7471135.5800000001</v>
      </c>
      <c r="M31" s="37"/>
      <c r="N31" s="35">
        <f>N27+N6</f>
        <v>7816465.5499999989</v>
      </c>
      <c r="O31" s="37"/>
      <c r="P31" s="35">
        <f>P27+P6</f>
        <v>7832120.0100000026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43909641.789999999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L33" s="49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2022-08-15T16:10:46Z</dcterms:modified>
</cp:coreProperties>
</file>