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1DD527BD-D1CD-404F-AEE2-88DA17190E7D}" xr6:coauthVersionLast="47" xr6:coauthVersionMax="47" xr10:uidLastSave="{00000000-0000-0000-0000-000000000000}"/>
  <bookViews>
    <workbookView xWindow="-120" yWindow="-120" windowWidth="20730" windowHeight="11160"/>
  </bookViews>
  <sheets>
    <sheet name="2021" sheetId="5" r:id="rId1"/>
  </sheets>
  <definedNames>
    <definedName name="_xlnm.Print_Area" localSheetId="0">'2021'!$B$1:$AD$34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5" l="1"/>
  <c r="T24" i="5"/>
  <c r="R30" i="5"/>
  <c r="R28" i="5" s="1"/>
  <c r="R27" i="5" s="1"/>
  <c r="R24" i="5"/>
  <c r="P30" i="5"/>
  <c r="P24" i="5"/>
  <c r="N24" i="5"/>
  <c r="AD24" i="5" s="1"/>
  <c r="L30" i="5"/>
  <c r="V30" i="5" s="1"/>
  <c r="V28" i="5" s="1"/>
  <c r="V27" i="5" s="1"/>
  <c r="L25" i="5"/>
  <c r="N25" i="5" s="1"/>
  <c r="L16" i="5"/>
  <c r="J22" i="5"/>
  <c r="J21" i="5"/>
  <c r="J20" i="5"/>
  <c r="J19" i="5"/>
  <c r="J18" i="5"/>
  <c r="J17" i="5"/>
  <c r="J11" i="5"/>
  <c r="J10" i="5"/>
  <c r="J9" i="5"/>
  <c r="H23" i="5"/>
  <c r="H22" i="5"/>
  <c r="H20" i="5"/>
  <c r="H15" i="5"/>
  <c r="H14" i="5"/>
  <c r="H11" i="5"/>
  <c r="H10" i="5"/>
  <c r="H9" i="5"/>
  <c r="H8" i="5"/>
  <c r="Z28" i="5"/>
  <c r="Z27" i="5" s="1"/>
  <c r="Z31" i="5" s="1"/>
  <c r="AD29" i="5"/>
  <c r="AB28" i="5"/>
  <c r="AB27" i="5" s="1"/>
  <c r="AB31" i="5" s="1"/>
  <c r="F7" i="5"/>
  <c r="F12" i="5"/>
  <c r="H28" i="5"/>
  <c r="H27" i="5"/>
  <c r="F28" i="5"/>
  <c r="F27" i="5"/>
  <c r="AD26" i="5"/>
  <c r="Z12" i="5"/>
  <c r="J28" i="5"/>
  <c r="J27" i="5"/>
  <c r="L28" i="5"/>
  <c r="L27" i="5"/>
  <c r="P28" i="5"/>
  <c r="P27" i="5" s="1"/>
  <c r="X7" i="5"/>
  <c r="X6" i="5" s="1"/>
  <c r="X28" i="5"/>
  <c r="X27" i="5"/>
  <c r="X12" i="5"/>
  <c r="Z7" i="5"/>
  <c r="Z6" i="5" s="1"/>
  <c r="AB12" i="5"/>
  <c r="AB7" i="5"/>
  <c r="AB6" i="5" s="1"/>
  <c r="F6" i="5"/>
  <c r="F31" i="5"/>
  <c r="H7" i="5"/>
  <c r="N13" i="5"/>
  <c r="P13" i="5"/>
  <c r="R13" i="5"/>
  <c r="V13" i="5" s="1"/>
  <c r="X31" i="5" l="1"/>
  <c r="N22" i="5"/>
  <c r="P22" i="5" s="1"/>
  <c r="P16" i="5"/>
  <c r="N20" i="5"/>
  <c r="L22" i="5"/>
  <c r="R22" i="5" s="1"/>
  <c r="P25" i="5"/>
  <c r="H12" i="5"/>
  <c r="H6" i="5" s="1"/>
  <c r="H31" i="5" s="1"/>
  <c r="J14" i="5"/>
  <c r="J23" i="5"/>
  <c r="L23" i="5" s="1"/>
  <c r="N23" i="5" s="1"/>
  <c r="L17" i="5"/>
  <c r="P17" i="5" s="1"/>
  <c r="J15" i="5"/>
  <c r="L18" i="5"/>
  <c r="N18" i="5" s="1"/>
  <c r="N16" i="5"/>
  <c r="L9" i="5"/>
  <c r="N9" i="5" s="1"/>
  <c r="L19" i="5"/>
  <c r="N17" i="5"/>
  <c r="L10" i="5"/>
  <c r="N10" i="5" s="1"/>
  <c r="L20" i="5"/>
  <c r="N30" i="5"/>
  <c r="T30" i="5"/>
  <c r="T28" i="5" s="1"/>
  <c r="T27" i="5" s="1"/>
  <c r="T13" i="5"/>
  <c r="J8" i="5"/>
  <c r="L11" i="5"/>
  <c r="L21" i="5"/>
  <c r="N21" i="5" s="1"/>
  <c r="P21" i="5" l="1"/>
  <c r="T18" i="5"/>
  <c r="V18" i="5" s="1"/>
  <c r="AD18" i="5" s="1"/>
  <c r="P18" i="5"/>
  <c r="R23" i="5"/>
  <c r="P23" i="5"/>
  <c r="T23" i="5"/>
  <c r="R11" i="5"/>
  <c r="N19" i="5"/>
  <c r="R20" i="5"/>
  <c r="L15" i="5"/>
  <c r="J12" i="5"/>
  <c r="R16" i="5"/>
  <c r="P19" i="5"/>
  <c r="R19" i="5" s="1"/>
  <c r="T20" i="5"/>
  <c r="AD30" i="5"/>
  <c r="AD28" i="5" s="1"/>
  <c r="AD27" i="5" s="1"/>
  <c r="N28" i="5"/>
  <c r="N27" i="5" s="1"/>
  <c r="P11" i="5"/>
  <c r="N11" i="5"/>
  <c r="T11" i="5" s="1"/>
  <c r="V11" i="5" s="1"/>
  <c r="V23" i="5"/>
  <c r="AD23" i="5" s="1"/>
  <c r="P9" i="5"/>
  <c r="R9" i="5" s="1"/>
  <c r="T25" i="5"/>
  <c r="P10" i="5"/>
  <c r="R10" i="5" s="1"/>
  <c r="R18" i="5"/>
  <c r="R17" i="5"/>
  <c r="T22" i="5"/>
  <c r="L14" i="5"/>
  <c r="AD13" i="5"/>
  <c r="P20" i="5"/>
  <c r="J7" i="5"/>
  <c r="J6" i="5" s="1"/>
  <c r="J31" i="5" s="1"/>
  <c r="L8" i="5"/>
  <c r="L7" i="5" s="1"/>
  <c r="R25" i="5"/>
  <c r="T10" i="5" l="1"/>
  <c r="V10" i="5" s="1"/>
  <c r="AD10" i="5" s="1"/>
  <c r="T19" i="5"/>
  <c r="T9" i="5"/>
  <c r="V9" i="5" s="1"/>
  <c r="AD9" i="5" s="1"/>
  <c r="AD11" i="5"/>
  <c r="N15" i="5"/>
  <c r="V25" i="5"/>
  <c r="AD25" i="5" s="1"/>
  <c r="N8" i="5"/>
  <c r="T21" i="5"/>
  <c r="V21" i="5" s="1"/>
  <c r="T17" i="5"/>
  <c r="V17" i="5" s="1"/>
  <c r="V19" i="5"/>
  <c r="AD19" i="5" s="1"/>
  <c r="V20" i="5"/>
  <c r="AD20" i="5" s="1"/>
  <c r="V22" i="5"/>
  <c r="AD22" i="5" s="1"/>
  <c r="L12" i="5"/>
  <c r="L6" i="5" s="1"/>
  <c r="L31" i="5" s="1"/>
  <c r="R21" i="5"/>
  <c r="V16" i="5"/>
  <c r="N14" i="5"/>
  <c r="T16" i="5"/>
  <c r="AD21" i="5" l="1"/>
  <c r="P15" i="5"/>
  <c r="AD17" i="5"/>
  <c r="AD16" i="5"/>
  <c r="N7" i="5"/>
  <c r="P8" i="5"/>
  <c r="R8" i="5"/>
  <c r="R7" i="5" s="1"/>
  <c r="N12" i="5"/>
  <c r="P14" i="5"/>
  <c r="T8" i="5"/>
  <c r="T7" i="5" s="1"/>
  <c r="P12" i="5" l="1"/>
  <c r="R14" i="5"/>
  <c r="R15" i="5"/>
  <c r="T15" i="5" s="1"/>
  <c r="V8" i="5"/>
  <c r="V7" i="5" s="1"/>
  <c r="P7" i="5"/>
  <c r="P6" i="5" s="1"/>
  <c r="P31" i="5" s="1"/>
  <c r="AD8" i="5"/>
  <c r="AD7" i="5" s="1"/>
  <c r="N6" i="5"/>
  <c r="N31" i="5" s="1"/>
  <c r="T14" i="5"/>
  <c r="AD14" i="5" l="1"/>
  <c r="AD12" i="5" s="1"/>
  <c r="AD6" i="5" s="1"/>
  <c r="AD31" i="5" s="1"/>
  <c r="T12" i="5"/>
  <c r="T6" i="5" s="1"/>
  <c r="T31" i="5" s="1"/>
  <c r="V15" i="5"/>
  <c r="V14" i="5"/>
  <c r="V12" i="5" s="1"/>
  <c r="R12" i="5"/>
  <c r="R6" i="5" s="1"/>
  <c r="R31" i="5" s="1"/>
  <c r="AD15" i="5"/>
  <c r="V6" i="5"/>
  <c r="V31" i="5" s="1"/>
</calcChain>
</file>

<file path=xl/sharedStrings.xml><?xml version="1.0" encoding="utf-8"?>
<sst xmlns="http://schemas.openxmlformats.org/spreadsheetml/2006/main" count="45" uniqueCount="45">
  <si>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</si>
  <si>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</si>
  <si>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</si>
  <si>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</si>
  <si>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</si>
  <si>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</si>
  <si>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</si>
  <si>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</si>
  <si>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</si>
  <si>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</si>
  <si>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</si>
  <si>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</si>
  <si>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ACUMULADO NO ANO</t>
  </si>
  <si>
    <t>Elemento</t>
  </si>
  <si>
    <t>3 - DESPESAS CORRENTES</t>
  </si>
  <si>
    <t>31 - PESSOAL E ENCARGOS SOCIAIS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</si>
  <si>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</si>
  <si>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</si>
  <si>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</si>
  <si>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</si>
  <si>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</si>
  <si>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</si>
  <si>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</si>
  <si>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</si>
  <si>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</si>
  <si>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OUTROS-PES.JURID</t>
  </si>
  <si>
    <t>339039 - OUTROS SERVICOS DE TERCEIROS-PESSOA JURIDICA</t>
  </si>
  <si>
    <t>339047 - OBRIGACOES TRIBUTARIAS E CONTRIBUTIVAS</t>
  </si>
  <si>
    <t>339050 - SERVICOS DE UTILIDADE PUBLICA</t>
  </si>
  <si>
    <t>339092 - DESPESAS DE EXERCICIOS ANTERIORES</t>
  </si>
  <si>
    <t>339093 - INDENIZACOES E RESTITUICOES</t>
  </si>
  <si>
    <t>4 - DESPESAS DE CAPITAL</t>
  </si>
  <si>
    <t>44 - INVESTIMENTOS</t>
  </si>
  <si>
    <t>449052 - EQUIPAMENTOS E MATERIAL PERMANENTE</t>
  </si>
  <si>
    <t>319007 - OBRIGACOES PATRONAIS</t>
  </si>
  <si>
    <t/>
  </si>
  <si>
    <t xml:space="preserve">DESPESAS ORÇAMENTÁRIAS </t>
  </si>
  <si>
    <t>449051 - OBRAS E INSTALAÇÕES</t>
  </si>
  <si>
    <t>339096 - RESSARC. DE DESPESAS DE PESSOAL REEQUISITADO</t>
  </si>
  <si>
    <t>319016 - OUTRAS DESPESAS VARIÁREIS - HORA EXTRA</t>
  </si>
  <si>
    <t>valores liquidados</t>
  </si>
  <si>
    <t>339040 -DESPESAS COM TECNOLOGIA DA INFORMAÇÃO</t>
  </si>
  <si>
    <t xml:space="preserve">DESPESAS ORÇAMENTÁRIAS - POR ELEMENTO </t>
  </si>
  <si>
    <t>fonte: SIGEO 2021</t>
  </si>
  <si>
    <t>Data Atualizacao :  01/01/2021 a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</si>
</sst>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_(* #,##0.00_);_(* \(#,##0.00\);_(* \-??_);_(@_)"/>
  </numFmts>
  <fonts count="17" x14ac:knownFonts="1">
    <font>
      <sz val="10"/>
      <name val="Arial"/>
      <family val="2"/>
    </font>
    <font>
      <b/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12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color rgb="FF0070C0"/>
      <name val="Arial"/>
      <family val="2"/>
    </font>
    <font>
      <b/>
      <sz val="11"/>
      <color rgb="FFFFFF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EAEAEA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9" fillId="0" borderId="0"/>
    <xf numFmtId="178" fontId="9" fillId="0" borderId="0" applyFill="0" applyBorder="0" applyAlignment="0" applyProtection="0"/>
  </cellStyleXfs>
  <cellXfs count="71">
    <xf numFmtId="0" fontId="0" fillId="0" borderId="0" xfId="0"/>
    <xf numFmtId="0" fontId="9" fillId="2" borderId="0" xfId="1" applyFill="1"/>
    <xf numFmtId="0" fontId="9" fillId="0" borderId="0" xfId="1"/>
    <xf numFmtId="0" fontId="9" fillId="2" borderId="0" xfId="1" applyFill="1" applyBorder="1"/>
    <xf numFmtId="0" fontId="3" fillId="0" borderId="0" xfId="0" applyFont="1"/>
    <xf numFmtId="0" fontId="3" fillId="0" borderId="0" xfId="1" applyFont="1"/>
    <xf numFmtId="0" fontId="0" fillId="0" borderId="0" xfId="0" quotePrefix="1"/>
    <xf numFmtId="0" fontId="7" fillId="0" borderId="0" xfId="0" applyFont="1"/>
    <xf numFmtId="0" fontId="9" fillId="2" borderId="1" xfId="1" applyFill="1" applyBorder="1"/>
    <xf numFmtId="0" fontId="2" fillId="2" borderId="0" xfId="1" applyFont="1" applyFill="1" applyBorder="1"/>
    <xf numFmtId="0" fontId="2" fillId="2" borderId="1" xfId="1" applyFont="1" applyFill="1" applyBorder="1"/>
    <xf numFmtId="0" fontId="12" fillId="2" borderId="0" xfId="1" applyFont="1" applyFill="1" applyBorder="1"/>
    <xf numFmtId="0" fontId="12" fillId="2" borderId="1" xfId="1" applyFont="1" applyFill="1" applyBorder="1"/>
    <xf numFmtId="4" fontId="10" fillId="2" borderId="1" xfId="2" applyNumberFormat="1" applyFont="1" applyFill="1" applyBorder="1" applyAlignment="1"/>
    <xf numFmtId="4" fontId="9" fillId="2" borderId="0" xfId="2" applyNumberFormat="1" applyFill="1" applyAlignment="1"/>
    <xf numFmtId="4" fontId="3" fillId="0" borderId="2" xfId="2" applyNumberFormat="1" applyFont="1" applyFill="1" applyBorder="1" applyAlignment="1" applyProtection="1"/>
    <xf numFmtId="0" fontId="5" fillId="0" borderId="2" xfId="1" applyFont="1" applyFill="1" applyBorder="1" applyAlignment="1">
      <alignment horizontal="left" vertical="top" wrapText="1"/>
    </xf>
    <xf numFmtId="0" fontId="9" fillId="0" borderId="0" xfId="1" applyFill="1"/>
    <xf numFmtId="4" fontId="11" fillId="0" borderId="2" xfId="2" applyNumberFormat="1" applyFont="1" applyFill="1" applyBorder="1" applyAlignment="1" applyProtection="1"/>
    <xf numFmtId="4" fontId="11" fillId="0" borderId="0" xfId="2" applyNumberFormat="1" applyFont="1" applyFill="1" applyAlignment="1"/>
    <xf numFmtId="4" fontId="11" fillId="0" borderId="2" xfId="2" applyNumberFormat="1" applyFont="1" applyFill="1" applyBorder="1" applyAlignment="1"/>
    <xf numFmtId="4" fontId="9" fillId="0" borderId="0" xfId="2" applyNumberFormat="1" applyFill="1" applyAlignment="1"/>
    <xf numFmtId="0" fontId="3" fillId="0" borderId="0" xfId="1" applyFont="1" applyFill="1"/>
    <xf numFmtId="4" fontId="3" fillId="0" borderId="0" xfId="2" applyNumberFormat="1" applyFont="1" applyFill="1" applyAlignment="1"/>
    <xf numFmtId="0" fontId="5" fillId="0" borderId="2" xfId="0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/>
    </xf>
    <xf numFmtId="0" fontId="5" fillId="3" borderId="3" xfId="1" applyFont="1" applyFill="1" applyBorder="1" applyAlignment="1">
      <alignment horizontal="left" vertical="top"/>
    </xf>
    <xf numFmtId="4" fontId="3" fillId="3" borderId="2" xfId="2" applyNumberFormat="1" applyFont="1" applyFill="1" applyBorder="1" applyAlignment="1" applyProtection="1"/>
    <xf numFmtId="0" fontId="4" fillId="4" borderId="1" xfId="1" applyFont="1" applyFill="1" applyBorder="1" applyAlignment="1">
      <alignment horizontal="left" vertical="top"/>
    </xf>
    <xf numFmtId="4" fontId="13" fillId="4" borderId="3" xfId="2" applyNumberFormat="1" applyFont="1" applyFill="1" applyBorder="1" applyAlignment="1" applyProtection="1"/>
    <xf numFmtId="4" fontId="13" fillId="4" borderId="2" xfId="2" applyNumberFormat="1" applyFont="1" applyFill="1" applyBorder="1" applyAlignment="1" applyProtection="1"/>
    <xf numFmtId="0" fontId="5" fillId="5" borderId="1" xfId="1" applyFont="1" applyFill="1" applyBorder="1" applyAlignment="1">
      <alignment horizontal="left" vertical="top"/>
    </xf>
    <xf numFmtId="4" fontId="3" fillId="5" borderId="2" xfId="2" applyNumberFormat="1" applyFont="1" applyFill="1" applyBorder="1" applyAlignment="1" applyProtection="1"/>
    <xf numFmtId="0" fontId="4" fillId="6" borderId="1" xfId="1" applyFont="1" applyFill="1" applyBorder="1" applyAlignment="1">
      <alignment horizontal="left" vertical="top"/>
    </xf>
    <xf numFmtId="0" fontId="4" fillId="6" borderId="3" xfId="1" applyFont="1" applyFill="1" applyBorder="1" applyAlignment="1">
      <alignment horizontal="left" vertical="top"/>
    </xf>
    <xf numFmtId="4" fontId="14" fillId="7" borderId="2" xfId="2" applyNumberFormat="1" applyFont="1" applyFill="1" applyBorder="1" applyAlignment="1" applyProtection="1"/>
    <xf numFmtId="0" fontId="14" fillId="0" borderId="0" xfId="1" applyFont="1" applyFill="1"/>
    <xf numFmtId="4" fontId="14" fillId="0" borderId="0" xfId="2" applyNumberFormat="1" applyFont="1" applyFill="1" applyAlignment="1"/>
    <xf numFmtId="0" fontId="4" fillId="3" borderId="1" xfId="1" applyFont="1" applyFill="1" applyBorder="1" applyAlignment="1">
      <alignment horizontal="left" vertical="top"/>
    </xf>
    <xf numFmtId="4" fontId="15" fillId="6" borderId="2" xfId="2" applyNumberFormat="1" applyFont="1" applyFill="1" applyBorder="1" applyAlignment="1" applyProtection="1"/>
    <xf numFmtId="4" fontId="16" fillId="0" borderId="0" xfId="2" applyNumberFormat="1" applyFont="1" applyFill="1" applyAlignment="1"/>
    <xf numFmtId="4" fontId="11" fillId="0" borderId="1" xfId="2" applyNumberFormat="1" applyFont="1" applyFill="1" applyBorder="1" applyAlignment="1" applyProtection="1"/>
    <xf numFmtId="0" fontId="2" fillId="2" borderId="1" xfId="1" applyFont="1" applyFill="1" applyBorder="1" applyAlignment="1">
      <alignment vertical="center"/>
    </xf>
    <xf numFmtId="0" fontId="9" fillId="2" borderId="1" xfId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4" fontId="13" fillId="0" borderId="1" xfId="2" applyNumberFormat="1" applyFont="1" applyFill="1" applyBorder="1" applyAlignment="1" applyProtection="1"/>
    <xf numFmtId="4" fontId="3" fillId="0" borderId="1" xfId="2" applyNumberFormat="1" applyFont="1" applyFill="1" applyBorder="1" applyAlignment="1" applyProtection="1"/>
    <xf numFmtId="4" fontId="15" fillId="0" borderId="1" xfId="2" applyNumberFormat="1" applyFont="1" applyFill="1" applyBorder="1" applyAlignment="1" applyProtection="1"/>
    <xf numFmtId="4" fontId="14" fillId="0" borderId="1" xfId="2" applyNumberFormat="1" applyFont="1" applyFill="1" applyBorder="1" applyAlignment="1" applyProtection="1"/>
    <xf numFmtId="0" fontId="14" fillId="7" borderId="11" xfId="1" applyFont="1" applyFill="1" applyBorder="1" applyAlignment="1">
      <alignment horizontal="center" vertical="center"/>
    </xf>
    <xf numFmtId="0" fontId="14" fillId="7" borderId="12" xfId="1" applyFont="1" applyFill="1" applyBorder="1" applyAlignment="1">
      <alignment horizontal="center" vertical="center"/>
    </xf>
    <xf numFmtId="0" fontId="14" fillId="7" borderId="1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left" vertical="top"/>
    </xf>
    <xf numFmtId="0" fontId="8" fillId="2" borderId="3" xfId="1" applyFont="1" applyFill="1" applyBorder="1" applyAlignment="1">
      <alignment horizontal="center" vertical="top" wrapText="1"/>
    </xf>
    <xf numFmtId="0" fontId="6" fillId="5" borderId="10" xfId="1" applyFont="1" applyFill="1" applyBorder="1" applyAlignment="1">
      <alignment horizontal="left" vertical="top"/>
    </xf>
    <xf numFmtId="0" fontId="15" fillId="6" borderId="10" xfId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3" fillId="4" borderId="1" xfId="1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104775</xdr:rowOff>
        </xdr:from>
        <xdr:to>
          <xdr:col>3</xdr:col>
          <xdr:colOff>323850</xdr:colOff>
          <xdr:row>0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336AF77-A052-4FDF-AA47-A3D8924286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776288</xdr:colOff>
      <xdr:row>0</xdr:row>
      <xdr:rowOff>235744</xdr:rowOff>
    </xdr:from>
    <xdr:to>
      <xdr:col>19</xdr:col>
      <xdr:colOff>88107</xdr:colOff>
      <xdr:row>0</xdr:row>
      <xdr:rowOff>607219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B36D5D3D-B036-49D0-8EB7-1958948D6F79}"/>
            </a:ext>
          </a:extLst>
        </xdr:cNvPr>
        <xdr:cNvSpPr txBox="1">
          <a:spLocks noChangeArrowheads="1"/>
        </xdr:cNvSpPr>
      </xdr:nvSpPr>
      <xdr:spPr bwMode="auto">
        <a:xfrm>
          <a:off x="8646319" y="235744"/>
          <a:ext cx="4014788" cy="3714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27</xdr:col>
      <xdr:colOff>161925</xdr:colOff>
      <xdr:row>0</xdr:row>
      <xdr:rowOff>266700</xdr:rowOff>
    </xdr:from>
    <xdr:to>
      <xdr:col>29</xdr:col>
      <xdr:colOff>895350</xdr:colOff>
      <xdr:row>0</xdr:row>
      <xdr:rowOff>676275</xdr:rowOff>
    </xdr:to>
    <xdr:pic>
      <xdr:nvPicPr>
        <xdr:cNvPr id="1180" name="Imagem 3">
          <a:extLst>
            <a:ext uri="{FF2B5EF4-FFF2-40B4-BE49-F238E27FC236}">
              <a16:creationId xmlns:a16="http://schemas.microsoft.com/office/drawing/2014/main" id="{7045B63C-E5A5-43D0-B8F3-4D3D47384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11700" y="266700"/>
          <a:ext cx="18859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35"/>
  <sheetViews>
    <sheetView tabSelected="1" zoomScale="80" zoomScaleNormal="80" workbookViewId="0">
      <pane xSplit="5" topLeftCell="F1" activePane="topRight" state="frozen"/>
      <selection pane="topRight" activeCell="V3" sqref="V3:V5"/>
    </sheetView>
  </sheetViews>
  <sheetFormatPr defaultRowHeight="12.75" x14ac:dyDescent="0.2"/>
  <cols>
    <col min="1" max="1" width="1.85546875" customWidth="1"/>
    <col min="2" max="2" width="3.28515625" customWidth="1"/>
    <col min="3" max="3" width="4.7109375" customWidth="1"/>
    <col min="4" max="4" width="52.42578125" customWidth="1"/>
    <col min="5" max="5" width="1.7109375" customWidth="1"/>
    <col min="6" max="6" width="17.7109375" customWidth="1"/>
    <col min="7" max="7" width="1.7109375" customWidth="1"/>
    <col min="8" max="8" width="15.5703125" customWidth="1"/>
    <col min="9" max="9" width="1.7109375" customWidth="1"/>
    <col min="10" max="10" width="15.5703125" customWidth="1"/>
    <col min="11" max="11" width="1.7109375" customWidth="1"/>
    <col min="12" max="12" width="15.7109375" customWidth="1"/>
    <col min="13" max="13" width="1.5703125" customWidth="1"/>
    <col min="14" max="14" width="15.7109375" customWidth="1"/>
    <col min="15" max="15" width="2" customWidth="1"/>
    <col min="16" max="16" width="15.85546875" customWidth="1"/>
    <col min="17" max="17" width="1.85546875" customWidth="1"/>
    <col min="18" max="18" width="15.7109375" customWidth="1"/>
    <col min="19" max="19" width="1.85546875" customWidth="1"/>
    <col min="20" max="20" width="15.7109375" customWidth="1"/>
    <col min="21" max="21" width="2.140625" customWidth="1"/>
    <col min="22" max="22" width="15.7109375" customWidth="1"/>
    <col min="23" max="23" width="1.85546875" customWidth="1"/>
    <col min="24" max="24" width="15.7109375" customWidth="1"/>
    <col min="25" max="25" width="1.85546875" customWidth="1"/>
    <col min="26" max="26" width="15.5703125" customWidth="1"/>
    <col min="27" max="27" width="1.85546875" customWidth="1"/>
    <col min="28" max="28" width="15.5703125" customWidth="1"/>
    <col min="29" max="29" width="1.7109375" customWidth="1"/>
    <col min="30" max="30" width="18.42578125" customWidth="1"/>
    <col min="31" max="31" width="1.85546875" customWidth="1"/>
    <col min="32" max="32" width="2.7109375" customWidth="1"/>
    <col min="35" max="35" width="2.7109375" customWidth="1"/>
  </cols>
  <sheetData>
    <row r="1" spans="2:35" ht="70.5" customHeight="1" x14ac:dyDescent="0.2"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2:35" ht="19.5" customHeight="1" x14ac:dyDescent="0.2">
      <c r="B2" s="59" t="s">
        <v>42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</row>
    <row r="3" spans="2:35" ht="15" customHeight="1" x14ac:dyDescent="0.2">
      <c r="B3" s="65" t="s">
        <v>44</v>
      </c>
      <c r="C3" s="66"/>
      <c r="D3" s="67"/>
      <c r="E3" s="1"/>
      <c r="F3" s="60" t="s">
        <v>0</v>
      </c>
      <c r="G3" s="42"/>
      <c r="H3" s="60" t="s">
        <v>1</v>
      </c>
      <c r="I3" s="42"/>
      <c r="J3" s="60" t="s">
        <v>2</v>
      </c>
      <c r="K3" s="42"/>
      <c r="L3" s="60" t="s">
        <v>3</v>
      </c>
      <c r="M3" s="42"/>
      <c r="N3" s="60" t="s">
        <v>4</v>
      </c>
      <c r="O3" s="42"/>
      <c r="P3" s="60" t="s">
        <v>5</v>
      </c>
      <c r="Q3" s="42"/>
      <c r="R3" s="60" t="s">
        <v>6</v>
      </c>
      <c r="S3" s="42"/>
      <c r="T3" s="52" t="s">
        <v>7</v>
      </c>
      <c r="U3" s="43"/>
      <c r="V3" s="52" t="s">
        <v>8</v>
      </c>
      <c r="W3" s="44"/>
      <c r="X3" s="52" t="s">
        <v>9</v>
      </c>
      <c r="Y3" s="43"/>
      <c r="Z3" s="63" t="s">
        <v>10</v>
      </c>
      <c r="AA3" s="43"/>
      <c r="AB3" s="63" t="s">
        <v>11</v>
      </c>
      <c r="AC3" s="43"/>
      <c r="AD3" s="64" t="s">
        <v>12</v>
      </c>
      <c r="AF3" s="2"/>
      <c r="AI3" s="2"/>
    </row>
    <row r="4" spans="2:35" x14ac:dyDescent="0.2">
      <c r="B4" s="68"/>
      <c r="C4" s="69"/>
      <c r="D4" s="70"/>
      <c r="E4" s="1"/>
      <c r="F4" s="61"/>
      <c r="G4" s="9"/>
      <c r="H4" s="61"/>
      <c r="I4" s="9"/>
      <c r="J4" s="61"/>
      <c r="K4" s="9"/>
      <c r="L4" s="61"/>
      <c r="M4" s="10"/>
      <c r="N4" s="61"/>
      <c r="O4" s="9"/>
      <c r="P4" s="61"/>
      <c r="Q4" s="9"/>
      <c r="R4" s="61"/>
      <c r="S4" s="9"/>
      <c r="T4" s="52"/>
      <c r="U4" s="3"/>
      <c r="V4" s="52"/>
      <c r="W4" s="11"/>
      <c r="X4" s="52"/>
      <c r="Y4" s="8"/>
      <c r="Z4" s="63"/>
      <c r="AA4" s="3"/>
      <c r="AB4" s="63"/>
      <c r="AC4" s="3"/>
      <c r="AD4" s="64"/>
      <c r="AF4" s="2"/>
      <c r="AI4" s="2"/>
    </row>
    <row r="5" spans="2:35" ht="20.100000000000001" customHeight="1" x14ac:dyDescent="0.2">
      <c r="B5" s="54" t="s">
        <v>13</v>
      </c>
      <c r="C5" s="54"/>
      <c r="D5" s="54"/>
      <c r="E5" s="1"/>
      <c r="F5" s="62"/>
      <c r="G5" s="10"/>
      <c r="H5" s="62"/>
      <c r="I5" s="10"/>
      <c r="J5" s="62"/>
      <c r="K5" s="10"/>
      <c r="L5" s="62"/>
      <c r="M5" s="10"/>
      <c r="N5" s="62"/>
      <c r="O5" s="10"/>
      <c r="P5" s="62"/>
      <c r="Q5" s="10"/>
      <c r="R5" s="62"/>
      <c r="S5" s="10"/>
      <c r="T5" s="52"/>
      <c r="U5" s="8"/>
      <c r="V5" s="52"/>
      <c r="W5" s="12"/>
      <c r="X5" s="52"/>
      <c r="Y5" s="8"/>
      <c r="Z5" s="63"/>
      <c r="AA5" s="8"/>
      <c r="AB5" s="63"/>
      <c r="AC5" s="8"/>
      <c r="AD5" s="64"/>
      <c r="AF5" s="2"/>
      <c r="AI5" s="2"/>
    </row>
    <row r="6" spans="2:35" ht="20.100000000000001" customHeight="1" x14ac:dyDescent="0.25">
      <c r="B6" s="58" t="s">
        <v>14</v>
      </c>
      <c r="C6" s="58"/>
      <c r="D6" s="58"/>
      <c r="E6" s="1"/>
      <c r="F6" s="29">
        <f>F7+F12</f>
        <v>4091573.31</v>
      </c>
      <c r="G6" s="13"/>
      <c r="H6" s="29">
        <f>H7+H12</f>
        <v>6784748.4699999997</v>
      </c>
      <c r="I6" s="13"/>
      <c r="J6" s="29">
        <f>J7+J12</f>
        <v>6664304.2700000005</v>
      </c>
      <c r="K6" s="13"/>
      <c r="L6" s="29">
        <f>L7+L12</f>
        <v>7069430.1899999995</v>
      </c>
      <c r="M6" s="13"/>
      <c r="N6" s="29">
        <f>N7+N12</f>
        <v>6692746.4899999984</v>
      </c>
      <c r="O6" s="13"/>
      <c r="P6" s="29">
        <f>P7+P12</f>
        <v>6912809.6400000006</v>
      </c>
      <c r="Q6" s="13"/>
      <c r="R6" s="29">
        <f>R7+R12</f>
        <v>9610861.6900000013</v>
      </c>
      <c r="S6" s="13"/>
      <c r="T6" s="29">
        <f>T7+T12</f>
        <v>7019419.3299999963</v>
      </c>
      <c r="U6" s="13"/>
      <c r="V6" s="29">
        <f>V7+V12</f>
        <v>6688799.5300000003</v>
      </c>
      <c r="W6" s="13"/>
      <c r="X6" s="29">
        <f>X7+X12</f>
        <v>0</v>
      </c>
      <c r="Y6" s="8"/>
      <c r="Z6" s="29">
        <f>Z7+Z12</f>
        <v>0</v>
      </c>
      <c r="AA6" s="45"/>
      <c r="AB6" s="29">
        <f>AB7+AB12</f>
        <v>0</v>
      </c>
      <c r="AC6" s="13"/>
      <c r="AD6" s="30">
        <f>AD7+AD12</f>
        <v>61534692.920000002</v>
      </c>
      <c r="AF6" s="2"/>
      <c r="AI6" s="2"/>
    </row>
    <row r="7" spans="2:35" ht="20.100000000000001" customHeight="1" x14ac:dyDescent="0.2">
      <c r="B7" s="28"/>
      <c r="C7" s="53" t="s">
        <v>15</v>
      </c>
      <c r="D7" s="53"/>
      <c r="E7" s="1"/>
      <c r="F7" s="27">
        <f>F8+F9+F10+F11</f>
        <v>3631040.67</v>
      </c>
      <c r="G7" s="14"/>
      <c r="H7" s="27">
        <f>H8+H9+H10+H11</f>
        <v>5026553.93</v>
      </c>
      <c r="I7" s="14"/>
      <c r="J7" s="27">
        <f>J8+J9+J10+J11</f>
        <v>4750963.1400000006</v>
      </c>
      <c r="K7" s="14"/>
      <c r="L7" s="27">
        <f>L8+L9+L10+L11</f>
        <v>4697863.919999999</v>
      </c>
      <c r="M7" s="14"/>
      <c r="N7" s="27">
        <f>N8+N9+N10+N11</f>
        <v>4560152.8599999994</v>
      </c>
      <c r="O7" s="14"/>
      <c r="P7" s="27">
        <f>P8+P9+P10+P11</f>
        <v>5050884.1000000006</v>
      </c>
      <c r="Q7" s="14"/>
      <c r="R7" s="27">
        <f>R8+R9+R10+R11</f>
        <v>4535525.33</v>
      </c>
      <c r="S7" s="14"/>
      <c r="T7" s="27">
        <f>T8+T9+T10+T11</f>
        <v>4764112.9099999955</v>
      </c>
      <c r="U7" s="14"/>
      <c r="V7" s="27">
        <f>V8+V9+V10+V11</f>
        <v>4567837.8500000006</v>
      </c>
      <c r="W7" s="14"/>
      <c r="X7" s="27">
        <f>X8+X9+X10+X11</f>
        <v>0</v>
      </c>
      <c r="Y7" s="8"/>
      <c r="Z7" s="27">
        <f>Z8+Z9+Z10+Z11</f>
        <v>0</v>
      </c>
      <c r="AA7" s="46"/>
      <c r="AB7" s="27">
        <f>AB8+AB9+AB10+AB11</f>
        <v>0</v>
      </c>
      <c r="AC7" s="14"/>
      <c r="AD7" s="27">
        <f>SUM(AD8:AD11)</f>
        <v>41584934.710000001</v>
      </c>
      <c r="AF7" s="2"/>
      <c r="AI7" s="2"/>
    </row>
    <row r="8" spans="2:35" ht="20.100000000000001" customHeight="1" x14ac:dyDescent="0.2">
      <c r="B8" s="28"/>
      <c r="C8" s="25"/>
      <c r="D8" s="16" t="s">
        <v>34</v>
      </c>
      <c r="E8" s="17"/>
      <c r="F8" s="18">
        <v>15730.56</v>
      </c>
      <c r="G8" s="19"/>
      <c r="H8" s="18">
        <f>29928.76-F8</f>
        <v>14198.199999999999</v>
      </c>
      <c r="I8" s="19"/>
      <c r="J8" s="18">
        <f>43498.34-F8-H8</f>
        <v>13569.58</v>
      </c>
      <c r="K8" s="19"/>
      <c r="L8" s="20">
        <f>59840.24-F8-H8-J8</f>
        <v>16341.900000000003</v>
      </c>
      <c r="M8" s="19"/>
      <c r="N8" s="20">
        <f>74544.06-F8-H8-J8-L8</f>
        <v>14703.819999999998</v>
      </c>
      <c r="O8" s="19"/>
      <c r="P8" s="20">
        <f>88501.47-F8-H8-J8-L8-N8</f>
        <v>13957.410000000005</v>
      </c>
      <c r="Q8" s="19"/>
      <c r="R8" s="20">
        <f>104241.29-F8-H8-J8-L8-N8-P8</f>
        <v>15739.819999999991</v>
      </c>
      <c r="S8" s="19"/>
      <c r="T8" s="20">
        <f>118748.53-F8-H8-J8-L8-N8-P8-R8</f>
        <v>14507.240000000007</v>
      </c>
      <c r="U8" s="21"/>
      <c r="V8" s="20">
        <f>134863.09-F8-H8-J8-L8-N8-P8-R8-T8</f>
        <v>16114.559999999989</v>
      </c>
      <c r="W8" s="21"/>
      <c r="X8" s="20"/>
      <c r="Y8" s="41"/>
      <c r="Z8" s="18"/>
      <c r="AA8" s="41"/>
      <c r="AB8" s="18"/>
      <c r="AC8" s="21"/>
      <c r="AD8" s="15">
        <f>F8+H8+J8+L8+N8+P8+R8+T8+V8+X8+Z8+AB8</f>
        <v>134863.09</v>
      </c>
      <c r="AF8" s="2"/>
      <c r="AI8" s="2"/>
    </row>
    <row r="9" spans="2:35" ht="20.100000000000001" customHeight="1" x14ac:dyDescent="0.2">
      <c r="B9" s="28"/>
      <c r="C9" s="25"/>
      <c r="D9" s="16" t="s">
        <v>16</v>
      </c>
      <c r="E9" s="17"/>
      <c r="F9" s="18">
        <v>3327471.53</v>
      </c>
      <c r="G9" s="19"/>
      <c r="H9" s="18">
        <f>6525212.25-F9</f>
        <v>3197740.72</v>
      </c>
      <c r="I9" s="19"/>
      <c r="J9" s="18">
        <f>10219773.72-F9-H9</f>
        <v>3694561.4700000011</v>
      </c>
      <c r="K9" s="19"/>
      <c r="L9" s="20">
        <f>13709966.99-F9-H9-J9</f>
        <v>3490193.2699999991</v>
      </c>
      <c r="M9" s="19"/>
      <c r="N9" s="20">
        <f>17197348.88-F9-H9-J9-L9</f>
        <v>3487381.8899999992</v>
      </c>
      <c r="O9" s="19"/>
      <c r="P9" s="20">
        <f>21104911.85-F9-H9-J9-L9-N9</f>
        <v>3907562.97</v>
      </c>
      <c r="Q9" s="19"/>
      <c r="R9" s="20">
        <f>24519708.48-F9-H9-J9-L9-N9-P9</f>
        <v>3414796.6300000013</v>
      </c>
      <c r="S9" s="19"/>
      <c r="T9" s="20">
        <f>28195753.06-F9-H9-J9-L9-N9-P9-R9</f>
        <v>3676044.5799999959</v>
      </c>
      <c r="U9" s="21"/>
      <c r="V9" s="20">
        <f>31670647.83-F9-H9-J9-L9-N9-P9-R9-T9</f>
        <v>3474894.77</v>
      </c>
      <c r="W9" s="21"/>
      <c r="X9" s="20"/>
      <c r="Y9" s="41"/>
      <c r="Z9" s="18"/>
      <c r="AA9" s="41"/>
      <c r="AB9" s="18"/>
      <c r="AC9" s="21"/>
      <c r="AD9" s="15">
        <f>F9+H9+J9+L9+N9+P9+R9+T9+V9+X9+Z9+AB9</f>
        <v>31670647.829999994</v>
      </c>
      <c r="AF9" s="2"/>
      <c r="AI9" s="2"/>
    </row>
    <row r="10" spans="2:35" ht="20.100000000000001" customHeight="1" x14ac:dyDescent="0.2">
      <c r="B10" s="28"/>
      <c r="C10" s="25"/>
      <c r="D10" s="16" t="s">
        <v>17</v>
      </c>
      <c r="E10" s="17"/>
      <c r="F10" s="18">
        <v>287424.74</v>
      </c>
      <c r="G10" s="19"/>
      <c r="H10" s="18">
        <f>2101987.23-F10</f>
        <v>1814562.49</v>
      </c>
      <c r="I10" s="19"/>
      <c r="J10" s="18">
        <f>3143941.05-F10-H10</f>
        <v>1041953.8199999996</v>
      </c>
      <c r="K10" s="19"/>
      <c r="L10" s="20">
        <f>4239385.77-F10-H10-J10</f>
        <v>1095444.7199999995</v>
      </c>
      <c r="M10" s="19"/>
      <c r="N10" s="20">
        <f>5297412.62-F10-H10-J10-L10</f>
        <v>1058026.8500000008</v>
      </c>
      <c r="O10" s="19"/>
      <c r="P10" s="20">
        <f>6343103.9-F10-H10-J10-L10-N10</f>
        <v>1045691.28</v>
      </c>
      <c r="Q10" s="19"/>
      <c r="R10" s="20">
        <f>7435750.97-F10-H10-J10-L10-N10-P10</f>
        <v>1092647.0699999996</v>
      </c>
      <c r="S10" s="19"/>
      <c r="T10" s="20">
        <f>8500900.45-F10-H10-J10-L10-N10-P10-R10</f>
        <v>1065149.4799999993</v>
      </c>
      <c r="U10" s="21"/>
      <c r="V10" s="20">
        <f>9573680.27-F10-H10-J10-L10-N10-P10-R10-T10</f>
        <v>1072779.8200000005</v>
      </c>
      <c r="W10" s="21"/>
      <c r="X10" s="20"/>
      <c r="Y10" s="41"/>
      <c r="Z10" s="18"/>
      <c r="AA10" s="41"/>
      <c r="AB10" s="18"/>
      <c r="AC10" s="21"/>
      <c r="AD10" s="15">
        <f>F10+H10+J10+L10+N10+P10+R10+T10+V10+X10+Z10+AB10</f>
        <v>9573680.2699999996</v>
      </c>
      <c r="AF10" s="2"/>
      <c r="AI10" s="2"/>
    </row>
    <row r="11" spans="2:35" ht="20.100000000000001" customHeight="1" x14ac:dyDescent="0.2">
      <c r="B11" s="28"/>
      <c r="C11" s="26"/>
      <c r="D11" s="16" t="s">
        <v>39</v>
      </c>
      <c r="E11" s="17"/>
      <c r="F11" s="18">
        <v>413.84</v>
      </c>
      <c r="G11" s="19"/>
      <c r="H11" s="18">
        <f>466.36-F11</f>
        <v>52.520000000000039</v>
      </c>
      <c r="I11" s="19"/>
      <c r="J11" s="18">
        <f>1344.63-F11-H11</f>
        <v>878.27000000000021</v>
      </c>
      <c r="K11" s="19"/>
      <c r="L11" s="20">
        <f>97228.66-F11-H11-J11</f>
        <v>95884.03</v>
      </c>
      <c r="M11" s="19"/>
      <c r="N11" s="20">
        <f>97268.96-F11-H11-J11-L11</f>
        <v>40.30000000000291</v>
      </c>
      <c r="O11" s="19"/>
      <c r="P11" s="20">
        <f>180941.4-F11-H11-J11-L11-N11</f>
        <v>83672.440000000017</v>
      </c>
      <c r="Q11" s="19"/>
      <c r="R11" s="20">
        <f>193283.21-F11-H11-J11-L11-N11-P11</f>
        <v>12341.809999999998</v>
      </c>
      <c r="S11" s="19"/>
      <c r="T11" s="20">
        <f>201694.82-F11-H11-J11-L11-N11-P11-R11</f>
        <v>8411.6100000000151</v>
      </c>
      <c r="U11" s="21"/>
      <c r="V11" s="20">
        <f>205743.52-F11-H11-J11-L11-N11-P11-R11-T11</f>
        <v>4048.6999999999825</v>
      </c>
      <c r="W11" s="21"/>
      <c r="X11" s="20"/>
      <c r="Y11" s="41"/>
      <c r="Z11" s="18"/>
      <c r="AA11" s="41"/>
      <c r="AB11" s="18"/>
      <c r="AC11" s="21"/>
      <c r="AD11" s="15">
        <f>F11+H11+J11+L11+N11+P11+R11+T11+V11+X11+Z11+AB11</f>
        <v>205743.52000000002</v>
      </c>
      <c r="AF11" s="2"/>
      <c r="AI11" s="2"/>
    </row>
    <row r="12" spans="2:35" s="4" customFormat="1" ht="20.100000000000001" customHeight="1" x14ac:dyDescent="0.2">
      <c r="B12" s="28"/>
      <c r="C12" s="55" t="s">
        <v>18</v>
      </c>
      <c r="D12" s="55"/>
      <c r="E12" s="22"/>
      <c r="F12" s="32">
        <f>SUM(F13:F26)</f>
        <v>460532.64000000007</v>
      </c>
      <c r="G12" s="23"/>
      <c r="H12" s="32">
        <f>SUM(H13:H26)</f>
        <v>1758194.5399999998</v>
      </c>
      <c r="I12" s="23"/>
      <c r="J12" s="32">
        <f>SUM(J13:J26)</f>
        <v>1913341.1300000001</v>
      </c>
      <c r="K12" s="23"/>
      <c r="L12" s="32">
        <f>SUM(L13:L26)</f>
        <v>2371566.2700000005</v>
      </c>
      <c r="M12" s="23"/>
      <c r="N12" s="32">
        <f>SUM(N13:N26)</f>
        <v>2132593.6299999994</v>
      </c>
      <c r="O12" s="23"/>
      <c r="P12" s="32">
        <f>SUM(P13:P26)</f>
        <v>1861925.5400000005</v>
      </c>
      <c r="Q12" s="23"/>
      <c r="R12" s="32">
        <f>SUM(R13:R26)</f>
        <v>5075336.3600000003</v>
      </c>
      <c r="S12" s="23"/>
      <c r="T12" s="32">
        <f>SUM(T13:T26)</f>
        <v>2255306.4200000009</v>
      </c>
      <c r="U12" s="23"/>
      <c r="V12" s="32">
        <f>SUM(V13:V26)</f>
        <v>2120961.6799999997</v>
      </c>
      <c r="W12" s="23"/>
      <c r="X12" s="32">
        <f>SUM(X13:X26)</f>
        <v>0</v>
      </c>
      <c r="Y12" s="41"/>
      <c r="Z12" s="32">
        <f>SUM(Z13:Z26)</f>
        <v>0</v>
      </c>
      <c r="AA12" s="46"/>
      <c r="AB12" s="32">
        <f>SUM(AB13:AB26)</f>
        <v>0</v>
      </c>
      <c r="AC12" s="23"/>
      <c r="AD12" s="32">
        <f>SUM(AD13:AD26)</f>
        <v>19949758.210000005</v>
      </c>
      <c r="AF12" s="5"/>
      <c r="AI12" s="5"/>
    </row>
    <row r="13" spans="2:35" ht="20.100000000000001" customHeight="1" x14ac:dyDescent="0.2">
      <c r="B13" s="28"/>
      <c r="C13" s="31"/>
      <c r="D13" s="16" t="s">
        <v>19</v>
      </c>
      <c r="E13" s="17"/>
      <c r="F13" s="18">
        <v>0</v>
      </c>
      <c r="G13" s="19"/>
      <c r="H13" s="18">
        <v>0</v>
      </c>
      <c r="I13" s="19"/>
      <c r="J13" s="18">
        <v>0</v>
      </c>
      <c r="K13" s="19"/>
      <c r="L13" s="18">
        <v>6767.93</v>
      </c>
      <c r="M13" s="19"/>
      <c r="N13" s="18">
        <f>6767.93-F13-H13-J13-L13</f>
        <v>0</v>
      </c>
      <c r="O13" s="19"/>
      <c r="P13" s="18">
        <f>6767.93-L13</f>
        <v>0</v>
      </c>
      <c r="Q13" s="19"/>
      <c r="R13" s="18">
        <f>2333240.45-F13-H13-J13-L13-N13-P13</f>
        <v>2326472.52</v>
      </c>
      <c r="S13" s="19"/>
      <c r="T13" s="18">
        <f>2333240.45-L13-R13</f>
        <v>0</v>
      </c>
      <c r="U13" s="21"/>
      <c r="V13" s="18">
        <f>2295550.62-L13-R13</f>
        <v>-37689.830000000075</v>
      </c>
      <c r="W13" s="21"/>
      <c r="X13" s="18"/>
      <c r="Y13" s="41"/>
      <c r="Z13" s="18"/>
      <c r="AA13" s="41"/>
      <c r="AB13" s="18"/>
      <c r="AC13" s="21"/>
      <c r="AD13" s="15">
        <f t="shared" ref="AD13:AD26" si="0">F13+H13+J13+L13+N13+P13+R13+T13+V13+X13+Z13+AB13</f>
        <v>2295550.62</v>
      </c>
      <c r="AF13" s="2"/>
      <c r="AI13" s="2"/>
    </row>
    <row r="14" spans="2:35" ht="20.100000000000001" customHeight="1" x14ac:dyDescent="0.2">
      <c r="B14" s="28"/>
      <c r="C14" s="31"/>
      <c r="D14" s="16" t="s">
        <v>20</v>
      </c>
      <c r="E14" s="17"/>
      <c r="F14" s="18">
        <v>21840.86</v>
      </c>
      <c r="G14" s="19"/>
      <c r="H14" s="18">
        <f>41221.72-F14</f>
        <v>19380.86</v>
      </c>
      <c r="I14" s="19"/>
      <c r="J14" s="18">
        <f>61452.88-F14-H14</f>
        <v>20231.159999999996</v>
      </c>
      <c r="K14" s="19"/>
      <c r="L14" s="18">
        <f>80232.9-F14-H14-J14</f>
        <v>18780.019999999997</v>
      </c>
      <c r="M14" s="19"/>
      <c r="N14" s="20">
        <f>100156.42-F14-H14-J14-L14</f>
        <v>19923.520000000004</v>
      </c>
      <c r="O14" s="19"/>
      <c r="P14" s="20">
        <f>119523.52-F14-H14-J14-L14-N14</f>
        <v>19367.100000000006</v>
      </c>
      <c r="Q14" s="19"/>
      <c r="R14" s="20">
        <f>139203.69-F14-H14-J14-L14-N14-P14</f>
        <v>19680.169999999991</v>
      </c>
      <c r="S14" s="19"/>
      <c r="T14" s="20">
        <f>159373.33-F14-H14-J14-L14-N14-P14-R14</f>
        <v>20169.639999999992</v>
      </c>
      <c r="U14" s="21"/>
      <c r="V14" s="20">
        <f>179346.63-F14-H14-J14-L14-N14-P14-R14-T14</f>
        <v>19973.300000000047</v>
      </c>
      <c r="W14" s="21"/>
      <c r="X14" s="20"/>
      <c r="Y14" s="41"/>
      <c r="Z14" s="18"/>
      <c r="AA14" s="41"/>
      <c r="AB14" s="18"/>
      <c r="AC14" s="21"/>
      <c r="AD14" s="15">
        <f t="shared" si="0"/>
        <v>179346.63000000003</v>
      </c>
      <c r="AF14" s="2"/>
      <c r="AI14" s="2"/>
    </row>
    <row r="15" spans="2:35" ht="20.100000000000001" customHeight="1" x14ac:dyDescent="0.2">
      <c r="B15" s="28"/>
      <c r="C15" s="31"/>
      <c r="D15" s="16" t="s">
        <v>21</v>
      </c>
      <c r="E15" s="17"/>
      <c r="F15" s="18">
        <v>9181.9599999999991</v>
      </c>
      <c r="G15" s="19"/>
      <c r="H15" s="18">
        <f>40424.86-F15</f>
        <v>31242.9</v>
      </c>
      <c r="I15" s="19"/>
      <c r="J15" s="18">
        <f>54702.19-F15-H15</f>
        <v>14277.330000000002</v>
      </c>
      <c r="K15" s="19"/>
      <c r="L15" s="20">
        <f>58821.33-F15-H15-J15</f>
        <v>4119.1399999999994</v>
      </c>
      <c r="M15" s="19"/>
      <c r="N15" s="20">
        <f>81720.96-F15-H15-J15-L15</f>
        <v>22899.629999999997</v>
      </c>
      <c r="O15" s="19"/>
      <c r="P15" s="20">
        <f>110188.4-F15-H15-J15-L15-N15</f>
        <v>28467.44000000001</v>
      </c>
      <c r="Q15" s="19"/>
      <c r="R15" s="20">
        <f>145602.6-F15-H15-J15-L15-N15-P15</f>
        <v>35414.200000000012</v>
      </c>
      <c r="S15" s="19"/>
      <c r="T15" s="20">
        <f>196760.45-F15-H15-J15-L15-N15-P15-R15</f>
        <v>51157.849999999977</v>
      </c>
      <c r="U15" s="21"/>
      <c r="V15" s="20">
        <f>242141.04-F15-H15-J15-L15-N15-P15-R15-T15</f>
        <v>45380.590000000026</v>
      </c>
      <c r="W15" s="21"/>
      <c r="X15" s="20"/>
      <c r="Y15" s="41"/>
      <c r="Z15" s="18"/>
      <c r="AA15" s="41"/>
      <c r="AB15" s="18"/>
      <c r="AC15" s="21"/>
      <c r="AD15" s="15">
        <f t="shared" si="0"/>
        <v>242141.04</v>
      </c>
      <c r="AF15" s="2"/>
      <c r="AI15" s="2"/>
    </row>
    <row r="16" spans="2:35" ht="20.100000000000001" customHeight="1" x14ac:dyDescent="0.2">
      <c r="B16" s="28"/>
      <c r="C16" s="31"/>
      <c r="D16" s="16" t="s">
        <v>22</v>
      </c>
      <c r="E16" s="17"/>
      <c r="F16" s="18">
        <v>0</v>
      </c>
      <c r="G16" s="19"/>
      <c r="H16" s="18">
        <v>0</v>
      </c>
      <c r="I16" s="19"/>
      <c r="J16" s="18">
        <v>6685.09</v>
      </c>
      <c r="K16" s="19"/>
      <c r="L16" s="20">
        <f>13146.78-J16</f>
        <v>6461.6900000000005</v>
      </c>
      <c r="M16" s="19"/>
      <c r="N16" s="20">
        <f>16103.86-F16-H16-J16-L16</f>
        <v>2957.08</v>
      </c>
      <c r="O16" s="19"/>
      <c r="P16" s="20">
        <f>22144.47-J16-L16-N16</f>
        <v>6040.6100000000006</v>
      </c>
      <c r="Q16" s="19"/>
      <c r="R16" s="20">
        <f>27124.07-F16-H16-J16-L16-N16-P16</f>
        <v>4979.5999999999985</v>
      </c>
      <c r="S16" s="19"/>
      <c r="T16" s="20">
        <f>40305.12-J16-L16-N16-P16-R16</f>
        <v>13181.049999999996</v>
      </c>
      <c r="U16" s="21"/>
      <c r="V16" s="20">
        <f>52134.28-J16-L16-N16-P16-R16-T16</f>
        <v>11829.160000000003</v>
      </c>
      <c r="W16" s="21"/>
      <c r="X16" s="20"/>
      <c r="Y16" s="41"/>
      <c r="Z16" s="18"/>
      <c r="AA16" s="41"/>
      <c r="AB16" s="18"/>
      <c r="AC16" s="21"/>
      <c r="AD16" s="15">
        <f t="shared" si="0"/>
        <v>52134.28</v>
      </c>
      <c r="AF16" s="2"/>
      <c r="AI16" s="2"/>
    </row>
    <row r="17" spans="2:36" ht="20.100000000000001" customHeight="1" x14ac:dyDescent="0.2">
      <c r="B17" s="28"/>
      <c r="C17" s="31"/>
      <c r="D17" s="16" t="s">
        <v>23</v>
      </c>
      <c r="E17" s="17"/>
      <c r="F17" s="18">
        <v>0</v>
      </c>
      <c r="G17" s="19"/>
      <c r="H17" s="18">
        <v>214844.74</v>
      </c>
      <c r="I17" s="19"/>
      <c r="J17" s="18">
        <f>437864.15-H17</f>
        <v>223019.41000000003</v>
      </c>
      <c r="K17" s="19"/>
      <c r="L17" s="20">
        <f>660912.18-H17-J17</f>
        <v>223048.03000000003</v>
      </c>
      <c r="M17" s="19"/>
      <c r="N17" s="20">
        <f>893933.07-F17-H17-J17-L17</f>
        <v>233020.8899999999</v>
      </c>
      <c r="O17" s="19"/>
      <c r="P17" s="20">
        <f>1122411.39-H17-J17-L17-N17</f>
        <v>228478.31999999995</v>
      </c>
      <c r="Q17" s="19"/>
      <c r="R17" s="20">
        <f>1355064.52-F17-H17-J17-L17-N17-P17</f>
        <v>232653.13000000012</v>
      </c>
      <c r="S17" s="19"/>
      <c r="T17" s="20">
        <f>1582294.96-H17-J17-L17-N17-P17-R17</f>
        <v>227230.44000000006</v>
      </c>
      <c r="U17" s="21"/>
      <c r="V17" s="20">
        <f>1828172.55-H17-J17-L17-N17-P17-R17-T17</f>
        <v>245877.58999999985</v>
      </c>
      <c r="W17" s="21"/>
      <c r="X17" s="20"/>
      <c r="Y17" s="41"/>
      <c r="Z17" s="18"/>
      <c r="AA17" s="41"/>
      <c r="AB17" s="18"/>
      <c r="AC17" s="21"/>
      <c r="AD17" s="15">
        <f t="shared" si="0"/>
        <v>1828172.5499999998</v>
      </c>
      <c r="AF17" s="2"/>
      <c r="AI17" s="2"/>
    </row>
    <row r="18" spans="2:36" ht="20.100000000000001" customHeight="1" x14ac:dyDescent="0.2">
      <c r="B18" s="28"/>
      <c r="C18" s="31"/>
      <c r="D18" s="16" t="s">
        <v>24</v>
      </c>
      <c r="E18" s="17"/>
      <c r="F18" s="18">
        <v>0</v>
      </c>
      <c r="G18" s="19"/>
      <c r="H18" s="18">
        <v>2747.91</v>
      </c>
      <c r="I18" s="19"/>
      <c r="J18" s="18">
        <f>5637.85-H18</f>
        <v>2889.9400000000005</v>
      </c>
      <c r="K18" s="19"/>
      <c r="L18" s="20">
        <f>8570.83-H18-J18</f>
        <v>2932.9799999999996</v>
      </c>
      <c r="M18" s="19"/>
      <c r="N18" s="18">
        <f>11452.38-F18-H18-J18-L18</f>
        <v>2881.5499999999993</v>
      </c>
      <c r="O18" s="19"/>
      <c r="P18" s="20">
        <f>14308.54-H18-J18-L18-N18</f>
        <v>2856.1600000000017</v>
      </c>
      <c r="Q18" s="19"/>
      <c r="R18" s="20">
        <f>17158.85-F18-H18-J18-L18-N18-P18</f>
        <v>2850.3099999999977</v>
      </c>
      <c r="S18" s="19"/>
      <c r="T18" s="20">
        <f>19996.31-H18-J18-L18-N18-P18-R18</f>
        <v>2837.4600000000028</v>
      </c>
      <c r="U18" s="21"/>
      <c r="V18" s="18">
        <f>22972.05-H18-J18-L18-N18-P18-R18-T18</f>
        <v>2975.7399999999961</v>
      </c>
      <c r="W18" s="21"/>
      <c r="X18" s="18"/>
      <c r="Y18" s="41"/>
      <c r="Z18" s="18"/>
      <c r="AA18" s="41"/>
      <c r="AB18" s="18"/>
      <c r="AC18" s="21"/>
      <c r="AD18" s="15">
        <f t="shared" si="0"/>
        <v>22972.049999999996</v>
      </c>
      <c r="AF18" s="2"/>
      <c r="AI18" s="2"/>
      <c r="AJ18" s="6" t="s">
        <v>35</v>
      </c>
    </row>
    <row r="19" spans="2:36" ht="20.100000000000001" customHeight="1" x14ac:dyDescent="0.2">
      <c r="B19" s="28"/>
      <c r="C19" s="31"/>
      <c r="D19" s="16" t="s">
        <v>25</v>
      </c>
      <c r="E19" s="17"/>
      <c r="F19" s="18">
        <v>0</v>
      </c>
      <c r="G19" s="19"/>
      <c r="H19" s="18">
        <v>227296.74</v>
      </c>
      <c r="I19" s="19"/>
      <c r="J19" s="18">
        <f>454593.48-H19</f>
        <v>227296.74</v>
      </c>
      <c r="K19" s="19"/>
      <c r="L19" s="18">
        <f>681918.64-H19-J19</f>
        <v>227325.16000000003</v>
      </c>
      <c r="M19" s="19"/>
      <c r="N19" s="18">
        <f>1010740.43-F19-H19-J19-L19</f>
        <v>328821.79000000004</v>
      </c>
      <c r="O19" s="19"/>
      <c r="P19" s="18">
        <f>1326762.03-H19-J19-L19-N19</f>
        <v>316021.59999999998</v>
      </c>
      <c r="Q19" s="19"/>
      <c r="R19" s="18">
        <f>1642783.63-F19-H19-J19-L19-N19-P19</f>
        <v>316021.59999999986</v>
      </c>
      <c r="S19" s="19"/>
      <c r="T19" s="18">
        <f>1958805.23-H19-J19-L19-N19-P19-R19</f>
        <v>316021.59999999998</v>
      </c>
      <c r="U19" s="21"/>
      <c r="V19" s="20">
        <f>2303540.95-H19-J19-L19-N19-P19-R19-T19</f>
        <v>344735.7200000002</v>
      </c>
      <c r="W19" s="21"/>
      <c r="X19" s="20"/>
      <c r="Y19" s="41"/>
      <c r="Z19" s="18"/>
      <c r="AA19" s="41"/>
      <c r="AB19" s="18"/>
      <c r="AC19" s="21"/>
      <c r="AD19" s="15">
        <f t="shared" si="0"/>
        <v>2303540.9500000002</v>
      </c>
      <c r="AF19" s="2"/>
      <c r="AI19" s="2"/>
    </row>
    <row r="20" spans="2:36" ht="20.100000000000001" customHeight="1" x14ac:dyDescent="0.2">
      <c r="B20" s="28"/>
      <c r="C20" s="31"/>
      <c r="D20" s="16" t="s">
        <v>26</v>
      </c>
      <c r="E20" s="17"/>
      <c r="F20" s="18">
        <v>400108.7</v>
      </c>
      <c r="G20" s="19"/>
      <c r="H20" s="18">
        <f>1285746.63-F20</f>
        <v>885637.92999999993</v>
      </c>
      <c r="I20" s="19"/>
      <c r="J20" s="18">
        <f>2485907.42-F20-H20</f>
        <v>1200160.79</v>
      </c>
      <c r="K20" s="19"/>
      <c r="L20" s="20">
        <f>4086701.25-F20-H20-J20</f>
        <v>1600793.83</v>
      </c>
      <c r="M20" s="19"/>
      <c r="N20" s="20">
        <f>5328052.31-F20-H20-J20-L20</f>
        <v>1241351.0599999996</v>
      </c>
      <c r="O20" s="19"/>
      <c r="P20" s="20">
        <f>6440299.83-F20-H20-J20-L20-N20</f>
        <v>1112247.5200000005</v>
      </c>
      <c r="Q20" s="19"/>
      <c r="R20" s="20">
        <f>7899722.36-F20-H20-J20-L20-N20-P20</f>
        <v>1459422.5300000003</v>
      </c>
      <c r="S20" s="19"/>
      <c r="T20" s="20">
        <f>9218313.66-F20-H20-J20-L20-N20-P20-R20</f>
        <v>1318591.3000000007</v>
      </c>
      <c r="U20" s="21"/>
      <c r="V20" s="20">
        <f>10571011.44-F20-H20-J20-L20-N20-P20-R20-T20</f>
        <v>1352697.7799999993</v>
      </c>
      <c r="W20" s="21"/>
      <c r="X20" s="20"/>
      <c r="Y20" s="41"/>
      <c r="Z20" s="18"/>
      <c r="AA20" s="41"/>
      <c r="AB20" s="18"/>
      <c r="AC20" s="21"/>
      <c r="AD20" s="15">
        <f t="shared" si="0"/>
        <v>10571011.439999999</v>
      </c>
      <c r="AF20" s="2"/>
      <c r="AI20" s="2"/>
    </row>
    <row r="21" spans="2:36" ht="20.100000000000001" customHeight="1" x14ac:dyDescent="0.2">
      <c r="B21" s="28"/>
      <c r="C21" s="31"/>
      <c r="D21" s="16" t="s">
        <v>41</v>
      </c>
      <c r="E21" s="17"/>
      <c r="F21" s="18">
        <v>0</v>
      </c>
      <c r="G21" s="19"/>
      <c r="H21" s="18">
        <v>285025.46999999997</v>
      </c>
      <c r="I21" s="19"/>
      <c r="J21" s="18">
        <f>404910.65-H21</f>
        <v>119885.18000000005</v>
      </c>
      <c r="K21" s="19"/>
      <c r="L21" s="20">
        <f>562180.56-H21-J21</f>
        <v>157269.91000000003</v>
      </c>
      <c r="M21" s="19"/>
      <c r="N21" s="20">
        <f>723388.2-F21-H21-J21-L21</f>
        <v>161207.6399999999</v>
      </c>
      <c r="O21" s="19"/>
      <c r="P21" s="20">
        <f>768472.41-H21-J21-L21-N21</f>
        <v>45084.210000000079</v>
      </c>
      <c r="Q21" s="19"/>
      <c r="R21" s="20">
        <f>1351021.75-F21-H21-J21-L21-N21-P21</f>
        <v>582549.34</v>
      </c>
      <c r="S21" s="19"/>
      <c r="T21" s="20">
        <f>1540363.49-H21-J21-L21-N21-P21-R21</f>
        <v>189341.73999999987</v>
      </c>
      <c r="U21" s="21"/>
      <c r="V21" s="20">
        <f>1598521.6-H21-J21-L21-N21-P21-R21-T21</f>
        <v>58158.110000000335</v>
      </c>
      <c r="W21" s="21"/>
      <c r="X21" s="20"/>
      <c r="Y21" s="41"/>
      <c r="Z21" s="18"/>
      <c r="AA21" s="41"/>
      <c r="AB21" s="18"/>
      <c r="AC21" s="21"/>
      <c r="AD21" s="15">
        <f t="shared" si="0"/>
        <v>1598521.6</v>
      </c>
      <c r="AF21" s="2"/>
      <c r="AI21" s="2"/>
    </row>
    <row r="22" spans="2:36" ht="20.100000000000001" customHeight="1" x14ac:dyDescent="0.2">
      <c r="B22" s="28"/>
      <c r="C22" s="31"/>
      <c r="D22" s="16" t="s">
        <v>27</v>
      </c>
      <c r="E22" s="17"/>
      <c r="F22" s="18">
        <v>28693.34</v>
      </c>
      <c r="G22" s="19"/>
      <c r="H22" s="18">
        <f>59495.98-F22</f>
        <v>30802.640000000003</v>
      </c>
      <c r="I22" s="19"/>
      <c r="J22" s="18">
        <f>91030.47-F22-H22</f>
        <v>31534.49</v>
      </c>
      <c r="K22" s="19"/>
      <c r="L22" s="20">
        <f>124013.14-F22-H22-J22</f>
        <v>32982.67</v>
      </c>
      <c r="M22" s="19"/>
      <c r="N22" s="20">
        <f>156736.6-F22-H22-J22-L22</f>
        <v>32723.460000000006</v>
      </c>
      <c r="O22" s="19"/>
      <c r="P22" s="20">
        <f>189211.68-F22-H22-J22-L22-N22</f>
        <v>32475.079999999987</v>
      </c>
      <c r="Q22" s="19"/>
      <c r="R22" s="20">
        <f>219720.87-F22-H22-J22-L22-N22-P22</f>
        <v>30509.189999999988</v>
      </c>
      <c r="S22" s="19"/>
      <c r="T22" s="20">
        <f>251783.3-F22-H22-J22-L22-N22-P22-R22</f>
        <v>32062.430000000008</v>
      </c>
      <c r="U22" s="21"/>
      <c r="V22" s="18">
        <f>283379.37-F22-H22-J22-L22-N22-P22-R22-T22</f>
        <v>31596.069999999992</v>
      </c>
      <c r="W22" s="21"/>
      <c r="X22" s="18"/>
      <c r="Y22" s="41"/>
      <c r="Z22" s="18"/>
      <c r="AA22" s="41"/>
      <c r="AB22" s="18"/>
      <c r="AC22" s="21"/>
      <c r="AD22" s="15">
        <f t="shared" si="0"/>
        <v>283379.37</v>
      </c>
      <c r="AF22" s="2"/>
      <c r="AI22" s="2"/>
    </row>
    <row r="23" spans="2:36" ht="20.100000000000001" customHeight="1" x14ac:dyDescent="0.2">
      <c r="B23" s="28"/>
      <c r="C23" s="31"/>
      <c r="D23" s="16" t="s">
        <v>28</v>
      </c>
      <c r="E23" s="17"/>
      <c r="F23" s="18">
        <v>707.78</v>
      </c>
      <c r="G23" s="19"/>
      <c r="H23" s="18">
        <f>61923.13-F23</f>
        <v>61215.35</v>
      </c>
      <c r="I23" s="19"/>
      <c r="J23" s="18">
        <f>128369.55-F23-H23</f>
        <v>66446.420000000013</v>
      </c>
      <c r="K23" s="19"/>
      <c r="L23" s="18">
        <f>218819.96-F23-H23-J23</f>
        <v>90450.409999999974</v>
      </c>
      <c r="M23" s="19"/>
      <c r="N23" s="18">
        <f>304469.97-F23-H23-J23-L23</f>
        <v>85650.009999999951</v>
      </c>
      <c r="O23" s="19"/>
      <c r="P23" s="18">
        <f>375192.03-F23-H23-J23-L23-N23</f>
        <v>70722.060000000085</v>
      </c>
      <c r="Q23" s="19"/>
      <c r="R23" s="18">
        <f>439029.38-F23-H23-J23-L23-N23-P23</f>
        <v>63837.349999999948</v>
      </c>
      <c r="S23" s="19"/>
      <c r="T23" s="18">
        <f>522889.5-F23-H23-J23-L23-N23-P23-R23</f>
        <v>83860.12</v>
      </c>
      <c r="U23" s="21"/>
      <c r="V23" s="18">
        <f>567371.8-F23-H23-J23-L23-N23-P23-R23-T23</f>
        <v>44482.300000000047</v>
      </c>
      <c r="W23" s="21"/>
      <c r="X23" s="18"/>
      <c r="Y23" s="41"/>
      <c r="Z23" s="18"/>
      <c r="AA23" s="41"/>
      <c r="AB23" s="18"/>
      <c r="AC23" s="21"/>
      <c r="AD23" s="15">
        <f t="shared" si="0"/>
        <v>567371.80000000005</v>
      </c>
      <c r="AF23" s="2"/>
      <c r="AI23" s="2"/>
    </row>
    <row r="24" spans="2:36" ht="20.100000000000001" customHeight="1" x14ac:dyDescent="0.2">
      <c r="B24" s="28"/>
      <c r="C24" s="31"/>
      <c r="D24" s="24" t="s">
        <v>29</v>
      </c>
      <c r="E24" s="17"/>
      <c r="F24" s="18">
        <v>0</v>
      </c>
      <c r="G24" s="19"/>
      <c r="H24" s="18">
        <v>0</v>
      </c>
      <c r="I24" s="19"/>
      <c r="J24" s="18">
        <v>0</v>
      </c>
      <c r="K24" s="19"/>
      <c r="L24" s="18">
        <v>458.91</v>
      </c>
      <c r="M24" s="19"/>
      <c r="N24" s="18">
        <f>458.91-L24</f>
        <v>0</v>
      </c>
      <c r="O24" s="19"/>
      <c r="P24" s="18">
        <f>458.91-L24</f>
        <v>0</v>
      </c>
      <c r="Q24" s="19"/>
      <c r="R24" s="18">
        <f>458.91-L24</f>
        <v>0</v>
      </c>
      <c r="S24" s="19"/>
      <c r="T24" s="18">
        <f>458.91-L24</f>
        <v>0</v>
      </c>
      <c r="U24" s="21"/>
      <c r="V24" s="18">
        <f>718.96-L24</f>
        <v>260.05</v>
      </c>
      <c r="W24" s="21"/>
      <c r="X24" s="18"/>
      <c r="Y24" s="41"/>
      <c r="Z24" s="18"/>
      <c r="AA24" s="41"/>
      <c r="AB24" s="18"/>
      <c r="AC24" s="21"/>
      <c r="AD24" s="15">
        <f t="shared" si="0"/>
        <v>718.96</v>
      </c>
      <c r="AF24" s="2"/>
      <c r="AI24" s="2"/>
    </row>
    <row r="25" spans="2:36" ht="20.100000000000001" customHeight="1" x14ac:dyDescent="0.2">
      <c r="B25" s="28"/>
      <c r="C25" s="31"/>
      <c r="D25" s="24" t="s">
        <v>30</v>
      </c>
      <c r="E25" s="17"/>
      <c r="F25" s="18">
        <v>0</v>
      </c>
      <c r="G25" s="19"/>
      <c r="H25" s="18">
        <v>0</v>
      </c>
      <c r="I25" s="19"/>
      <c r="J25" s="18">
        <v>914.58</v>
      </c>
      <c r="K25" s="19"/>
      <c r="L25" s="20">
        <f>1090.17-J25</f>
        <v>175.59000000000003</v>
      </c>
      <c r="M25" s="19"/>
      <c r="N25" s="20">
        <f>2247.17-F25-H25-J25-L25</f>
        <v>1157</v>
      </c>
      <c r="O25" s="19"/>
      <c r="P25" s="20">
        <f>2412.61-J25-L25-N25</f>
        <v>165.44000000000005</v>
      </c>
      <c r="Q25" s="19"/>
      <c r="R25" s="20">
        <f>3359.03-F25-H25-J25-L25-N25-P25</f>
        <v>946.42000000000007</v>
      </c>
      <c r="S25" s="19"/>
      <c r="T25" s="20">
        <f>4211.82-J25-L25-N25-P25-R25</f>
        <v>852.78999999999951</v>
      </c>
      <c r="U25" s="21"/>
      <c r="V25" s="20">
        <f>4896.92-J25-L25-N25-P25-R25-T25</f>
        <v>685.10000000000036</v>
      </c>
      <c r="W25" s="21"/>
      <c r="X25" s="20"/>
      <c r="Y25" s="41"/>
      <c r="Z25" s="18"/>
      <c r="AA25" s="41"/>
      <c r="AB25" s="18"/>
      <c r="AC25" s="21"/>
      <c r="AD25" s="15">
        <f>F25+H25+J25+L25+N25+P25+R25+T25+V25+X25+Z25+AB25</f>
        <v>4896.92</v>
      </c>
      <c r="AF25" s="2"/>
      <c r="AI25" s="2"/>
    </row>
    <row r="26" spans="2:36" ht="20.100000000000001" customHeight="1" x14ac:dyDescent="0.2">
      <c r="B26" s="28"/>
      <c r="C26" s="31"/>
      <c r="D26" s="24" t="s">
        <v>38</v>
      </c>
      <c r="E26" s="17"/>
      <c r="F26" s="18">
        <v>0</v>
      </c>
      <c r="G26" s="19"/>
      <c r="H26" s="18">
        <v>0</v>
      </c>
      <c r="I26" s="19"/>
      <c r="J26" s="18">
        <v>0</v>
      </c>
      <c r="K26" s="19"/>
      <c r="L26" s="18">
        <v>0</v>
      </c>
      <c r="M26" s="19"/>
      <c r="N26" s="18">
        <v>0</v>
      </c>
      <c r="O26" s="19"/>
      <c r="P26" s="18">
        <v>0</v>
      </c>
      <c r="Q26" s="19"/>
      <c r="R26" s="18">
        <v>0</v>
      </c>
      <c r="S26" s="19"/>
      <c r="T26" s="18">
        <v>0</v>
      </c>
      <c r="U26" s="21"/>
      <c r="V26" s="18">
        <v>0</v>
      </c>
      <c r="W26" s="21"/>
      <c r="X26" s="18"/>
      <c r="Y26" s="41"/>
      <c r="Z26" s="18"/>
      <c r="AA26" s="41"/>
      <c r="AB26" s="18"/>
      <c r="AC26" s="21"/>
      <c r="AD26" s="15">
        <f t="shared" si="0"/>
        <v>0</v>
      </c>
      <c r="AF26" s="2"/>
      <c r="AI26" s="2"/>
    </row>
    <row r="27" spans="2:36" s="4" customFormat="1" ht="20.100000000000001" customHeight="1" x14ac:dyDescent="0.25">
      <c r="B27" s="56" t="s">
        <v>31</v>
      </c>
      <c r="C27" s="56"/>
      <c r="D27" s="56"/>
      <c r="E27" s="22"/>
      <c r="F27" s="39">
        <f>F28</f>
        <v>0</v>
      </c>
      <c r="G27" s="40"/>
      <c r="H27" s="39">
        <f>H28</f>
        <v>0</v>
      </c>
      <c r="I27" s="40"/>
      <c r="J27" s="39">
        <f>J28</f>
        <v>2132.73</v>
      </c>
      <c r="K27" s="40"/>
      <c r="L27" s="39">
        <f>L28</f>
        <v>10200</v>
      </c>
      <c r="M27" s="40"/>
      <c r="N27" s="39">
        <f>N28</f>
        <v>0</v>
      </c>
      <c r="O27" s="40"/>
      <c r="P27" s="39">
        <f>P28</f>
        <v>0</v>
      </c>
      <c r="Q27" s="40"/>
      <c r="R27" s="39">
        <f>R28</f>
        <v>0</v>
      </c>
      <c r="S27" s="40"/>
      <c r="T27" s="39">
        <f>T28</f>
        <v>0</v>
      </c>
      <c r="U27" s="40"/>
      <c r="V27" s="39">
        <f>V28</f>
        <v>0</v>
      </c>
      <c r="W27" s="40"/>
      <c r="X27" s="39">
        <f>X28</f>
        <v>0</v>
      </c>
      <c r="Y27" s="41"/>
      <c r="Z27" s="39">
        <f>Z28</f>
        <v>0</v>
      </c>
      <c r="AA27" s="47"/>
      <c r="AB27" s="39">
        <f>AB28</f>
        <v>0</v>
      </c>
      <c r="AC27" s="40"/>
      <c r="AD27" s="39">
        <f>AD28</f>
        <v>12332.73</v>
      </c>
      <c r="AF27" s="5"/>
      <c r="AI27" s="5"/>
    </row>
    <row r="28" spans="2:36" s="4" customFormat="1" ht="20.100000000000001" customHeight="1" x14ac:dyDescent="0.2">
      <c r="B28" s="33"/>
      <c r="C28" s="53" t="s">
        <v>32</v>
      </c>
      <c r="D28" s="53"/>
      <c r="E28" s="22"/>
      <c r="F28" s="27">
        <f>F29+F30</f>
        <v>0</v>
      </c>
      <c r="G28" s="23"/>
      <c r="H28" s="27">
        <f>H29+H30</f>
        <v>0</v>
      </c>
      <c r="I28" s="23"/>
      <c r="J28" s="27">
        <f>J29+J30</f>
        <v>2132.73</v>
      </c>
      <c r="K28" s="23"/>
      <c r="L28" s="27">
        <f>L29+L30</f>
        <v>10200</v>
      </c>
      <c r="M28" s="23"/>
      <c r="N28" s="27">
        <f>N29+N30</f>
        <v>0</v>
      </c>
      <c r="O28" s="23"/>
      <c r="P28" s="27">
        <f>P29+P30</f>
        <v>0</v>
      </c>
      <c r="Q28" s="23"/>
      <c r="R28" s="27">
        <f>R30</f>
        <v>0</v>
      </c>
      <c r="S28" s="23"/>
      <c r="T28" s="27">
        <f>T30</f>
        <v>0</v>
      </c>
      <c r="U28" s="23"/>
      <c r="V28" s="27">
        <f>V30</f>
        <v>0</v>
      </c>
      <c r="W28" s="23"/>
      <c r="X28" s="27">
        <f>X30</f>
        <v>0</v>
      </c>
      <c r="Y28" s="41"/>
      <c r="Z28" s="27">
        <f>Z30</f>
        <v>0</v>
      </c>
      <c r="AA28" s="46"/>
      <c r="AB28" s="27">
        <f>AB30</f>
        <v>0</v>
      </c>
      <c r="AC28" s="23"/>
      <c r="AD28" s="27">
        <f>AD29+AD30</f>
        <v>12332.73</v>
      </c>
      <c r="AF28" s="5"/>
      <c r="AI28" s="5"/>
    </row>
    <row r="29" spans="2:36" s="4" customFormat="1" ht="20.100000000000001" customHeight="1" x14ac:dyDescent="0.2">
      <c r="B29" s="33"/>
      <c r="C29" s="38"/>
      <c r="D29" s="16" t="s">
        <v>37</v>
      </c>
      <c r="E29" s="22"/>
      <c r="F29" s="18">
        <v>0</v>
      </c>
      <c r="G29" s="19"/>
      <c r="H29" s="18">
        <v>0</v>
      </c>
      <c r="I29" s="19"/>
      <c r="J29" s="18">
        <v>0</v>
      </c>
      <c r="K29" s="19"/>
      <c r="L29" s="18">
        <v>0</v>
      </c>
      <c r="M29" s="19"/>
      <c r="N29" s="18">
        <v>0</v>
      </c>
      <c r="O29" s="19"/>
      <c r="P29" s="18">
        <v>0</v>
      </c>
      <c r="Q29" s="19"/>
      <c r="R29" s="18">
        <v>0</v>
      </c>
      <c r="S29" s="19"/>
      <c r="T29" s="18">
        <v>0</v>
      </c>
      <c r="U29" s="21"/>
      <c r="V29" s="18">
        <v>0</v>
      </c>
      <c r="W29" s="21"/>
      <c r="X29" s="18"/>
      <c r="Y29" s="41"/>
      <c r="Z29" s="18"/>
      <c r="AA29" s="41"/>
      <c r="AB29" s="18"/>
      <c r="AC29" s="21"/>
      <c r="AD29" s="15">
        <f>SUM(F29:AB29)</f>
        <v>0</v>
      </c>
      <c r="AF29" s="5"/>
      <c r="AI29" s="5"/>
    </row>
    <row r="30" spans="2:36" ht="20.100000000000001" customHeight="1" x14ac:dyDescent="0.2">
      <c r="B30" s="34"/>
      <c r="C30" s="26"/>
      <c r="D30" s="16" t="s">
        <v>33</v>
      </c>
      <c r="E30" s="17"/>
      <c r="F30" s="18">
        <v>0</v>
      </c>
      <c r="G30" s="19"/>
      <c r="H30" s="18">
        <v>0</v>
      </c>
      <c r="I30" s="19"/>
      <c r="J30" s="18">
        <v>2132.73</v>
      </c>
      <c r="K30" s="19"/>
      <c r="L30" s="20">
        <f>12332.73-J30</f>
        <v>10200</v>
      </c>
      <c r="M30" s="19"/>
      <c r="N30" s="20">
        <f>12332.73-J30-L30</f>
        <v>0</v>
      </c>
      <c r="O30" s="19"/>
      <c r="P30" s="20">
        <f>12332.73-J30-L30</f>
        <v>0</v>
      </c>
      <c r="Q30" s="19"/>
      <c r="R30" s="20">
        <f>12332.73-J30-L30</f>
        <v>0</v>
      </c>
      <c r="S30" s="19"/>
      <c r="T30" s="20">
        <f>12332.73-J30-L30</f>
        <v>0</v>
      </c>
      <c r="U30" s="21"/>
      <c r="V30" s="20">
        <f>12332.73-J30-L30</f>
        <v>0</v>
      </c>
      <c r="W30" s="21"/>
      <c r="X30" s="20"/>
      <c r="Y30" s="41"/>
      <c r="Z30" s="18"/>
      <c r="AA30" s="41"/>
      <c r="AB30" s="18"/>
      <c r="AC30" s="21"/>
      <c r="AD30" s="15">
        <f>F30+H30+J30+L30+N30+P30+R30+T30+V30+X30+Z30+AB30</f>
        <v>12332.73</v>
      </c>
      <c r="AF30" s="2"/>
      <c r="AI30" s="2"/>
    </row>
    <row r="31" spans="2:36" s="7" customFormat="1" ht="20.100000000000001" customHeight="1" x14ac:dyDescent="0.25">
      <c r="B31" s="49" t="s">
        <v>36</v>
      </c>
      <c r="C31" s="50"/>
      <c r="D31" s="51"/>
      <c r="E31" s="36"/>
      <c r="F31" s="35">
        <f>F27+F6</f>
        <v>4091573.31</v>
      </c>
      <c r="G31" s="37"/>
      <c r="H31" s="35">
        <f>H27+H6</f>
        <v>6784748.4699999997</v>
      </c>
      <c r="I31" s="37"/>
      <c r="J31" s="35">
        <f>J27+J6</f>
        <v>6666437.0000000009</v>
      </c>
      <c r="K31" s="37"/>
      <c r="L31" s="35">
        <f>L27+L6</f>
        <v>7079630.1899999995</v>
      </c>
      <c r="M31" s="37"/>
      <c r="N31" s="35">
        <f>N27+N6</f>
        <v>6692746.4899999984</v>
      </c>
      <c r="O31" s="37"/>
      <c r="P31" s="35">
        <f>P27+P6</f>
        <v>6912809.6400000006</v>
      </c>
      <c r="Q31" s="37"/>
      <c r="R31" s="35">
        <f>R27+R6</f>
        <v>9610861.6900000013</v>
      </c>
      <c r="S31" s="37"/>
      <c r="T31" s="35">
        <f>T27+T6</f>
        <v>7019419.3299999963</v>
      </c>
      <c r="U31" s="37"/>
      <c r="V31" s="35">
        <f>V27+V6</f>
        <v>6688799.5300000003</v>
      </c>
      <c r="W31" s="37"/>
      <c r="X31" s="35">
        <f>X27+X6</f>
        <v>0</v>
      </c>
      <c r="Y31" s="41"/>
      <c r="Z31" s="35">
        <f>Z27+Z6</f>
        <v>0</v>
      </c>
      <c r="AA31" s="48"/>
      <c r="AB31" s="35">
        <f>AB27+AB6</f>
        <v>0</v>
      </c>
      <c r="AC31" s="37"/>
      <c r="AD31" s="35">
        <f>AD6+AD27</f>
        <v>61547025.649999999</v>
      </c>
      <c r="AF31" s="5"/>
      <c r="AI31" s="5"/>
    </row>
    <row r="32" spans="2:36" x14ac:dyDescent="0.2">
      <c r="E32" s="2"/>
      <c r="G32" s="2"/>
      <c r="I32" s="2"/>
      <c r="K32" s="2"/>
      <c r="M32" s="2"/>
      <c r="O32" s="2"/>
      <c r="Q32" s="2"/>
      <c r="S32" s="2"/>
      <c r="U32" s="2"/>
      <c r="W32" s="2"/>
      <c r="Y32" s="2"/>
      <c r="AA32" s="2"/>
      <c r="AC32" s="2"/>
      <c r="AF32" s="2"/>
      <c r="AI32" s="2"/>
    </row>
    <row r="33" spans="2:35" x14ac:dyDescent="0.2">
      <c r="B33" t="s">
        <v>43</v>
      </c>
      <c r="E33" s="2"/>
      <c r="G33" s="2"/>
      <c r="I33" s="2"/>
      <c r="K33" s="2"/>
      <c r="M33" s="2"/>
      <c r="O33" s="2"/>
      <c r="Q33" s="2"/>
      <c r="S33" s="2"/>
      <c r="U33" s="2"/>
      <c r="W33" s="2"/>
      <c r="Y33" s="2"/>
      <c r="AA33" s="2"/>
      <c r="AC33" s="2"/>
      <c r="AF33" s="2"/>
      <c r="AI33" s="2"/>
    </row>
    <row r="34" spans="2:35" x14ac:dyDescent="0.2">
      <c r="B34" t="s">
        <v>40</v>
      </c>
      <c r="E34" s="2"/>
      <c r="G34" s="2"/>
      <c r="I34" s="2"/>
      <c r="K34" s="2"/>
      <c r="M34" s="2"/>
      <c r="O34" s="2"/>
      <c r="Q34" s="2"/>
      <c r="S34" s="2"/>
      <c r="U34" s="2"/>
      <c r="W34" s="2"/>
      <c r="Y34" s="2"/>
      <c r="AA34" s="2"/>
      <c r="AC34" s="2"/>
      <c r="AF34" s="2"/>
      <c r="AI34" s="2"/>
    </row>
    <row r="35" spans="2:35" x14ac:dyDescent="0.2">
      <c r="E35" s="2"/>
      <c r="G35" s="2"/>
      <c r="I35" s="2"/>
      <c r="K35" s="2"/>
      <c r="M35" s="2"/>
      <c r="O35" s="2"/>
      <c r="Q35" s="2"/>
      <c r="S35" s="2"/>
      <c r="U35" s="2"/>
      <c r="W35" s="2"/>
      <c r="Y35" s="2"/>
      <c r="AA35" s="2"/>
      <c r="AC35" s="2"/>
      <c r="AF35" s="2"/>
      <c r="AI35" s="2"/>
    </row>
  </sheetData>
  <mergeCells count="23">
    <mergeCell ref="Z3:Z5"/>
    <mergeCell ref="AB3:AB5"/>
    <mergeCell ref="AD3:AD5"/>
    <mergeCell ref="B3:D4"/>
    <mergeCell ref="F3:F5"/>
    <mergeCell ref="H3:H5"/>
    <mergeCell ref="B1:AD1"/>
    <mergeCell ref="B6:D6"/>
    <mergeCell ref="C7:D7"/>
    <mergeCell ref="B2:AD2"/>
    <mergeCell ref="J3:J5"/>
    <mergeCell ref="L3:L5"/>
    <mergeCell ref="N3:N5"/>
    <mergeCell ref="P3:P5"/>
    <mergeCell ref="R3:R5"/>
    <mergeCell ref="T3:T5"/>
    <mergeCell ref="B31:D31"/>
    <mergeCell ref="V3:V5"/>
    <mergeCell ref="X3:X5"/>
    <mergeCell ref="C28:D28"/>
    <mergeCell ref="B5:D5"/>
    <mergeCell ref="C12:D12"/>
    <mergeCell ref="B27:D27"/>
  </mergeCells>
  <printOptions horizontalCentered="1"/>
  <pageMargins left="0.39374999999999999" right="0.39374999999999999" top="0.6694444444444444" bottom="0.55138888888888893" header="0.51180555555555551" footer="0.51180555555555551"/>
  <pageSetup paperSize="9" scale="64" firstPageNumber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104775</xdr:rowOff>
              </from>
              <to>
                <xdr:col>3</xdr:col>
                <xdr:colOff>323850</xdr:colOff>
                <xdr:row>0</xdr:row>
                <xdr:rowOff>809625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Claudia Possan Foschiera</cp:lastModifiedBy>
  <cp:lastPrinted>2019-09-23T13:32:46Z</cp:lastPrinted>
  <dcterms:created xsi:type="dcterms:W3CDTF">2013-05-17T13:48:56Z</dcterms:created>
  <dcterms:modified xsi:type="dcterms:W3CDTF">2021-12-02T04:23:37Z</dcterms:modified>
</cp:coreProperties>
</file>